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I:\AC1000R\March19\1-1-2020 Filing\Exhibits\Excel Version\"/>
    </mc:Choice>
  </mc:AlternateContent>
  <bookViews>
    <workbookView xWindow="0" yWindow="0" windowWidth="23040" windowHeight="9405" tabRatio="856"/>
  </bookViews>
  <sheets>
    <sheet name="Exhibit 1" sheetId="1" r:id="rId1"/>
    <sheet name="Exhibit 2.1.1" sheetId="2" r:id="rId2"/>
    <sheet name="Exhibit 2.1.2" sheetId="19" r:id="rId3"/>
    <sheet name="Exhibit 2.2.1" sheetId="10" r:id="rId4"/>
    <sheet name="Exhibit 2.2.2" sheetId="20" r:id="rId5"/>
    <sheet name="Exhibit 2.3.1" sheetId="11" r:id="rId6"/>
    <sheet name="Exhibit 2.3.2" sheetId="21" r:id="rId7"/>
    <sheet name="Exhibit 2.4.1" sheetId="12" r:id="rId8"/>
    <sheet name="Exhibit 2.4.2" sheetId="15" r:id="rId9"/>
    <sheet name="Exhibit 2.5.1" sheetId="13" r:id="rId10"/>
    <sheet name="Exhibit 2.5.2" sheetId="14" r:id="rId11"/>
    <sheet name="Exhibits 2.5.3 - 2.5.8" sheetId="31" r:id="rId12"/>
    <sheet name="Exhibit 2.6.1" sheetId="16" r:id="rId13"/>
    <sheet name="Exhibit 2.6.2" sheetId="17" r:id="rId14"/>
    <sheet name="Exhibits 2.6.3 - 2.6.8" sheetId="32" r:id="rId15"/>
    <sheet name="Exhibit 3.1" sheetId="3" r:id="rId16"/>
    <sheet name="Exhibit 3.2" sheetId="18" r:id="rId17"/>
    <sheet name="Exhibit 4.1" sheetId="4" r:id="rId18"/>
    <sheet name="Exhibit 4.2" sheetId="22" r:id="rId19"/>
    <sheet name="Exhibit 4.3" sheetId="23" r:id="rId20"/>
    <sheet name="Exhibit 4.4" sheetId="24" r:id="rId21"/>
    <sheet name="Exhibit 5.1" sheetId="5" r:id="rId22"/>
    <sheet name="Exhibit 5.2" sheetId="25" r:id="rId23"/>
    <sheet name="Exhibit 6.1" sheetId="6" r:id="rId24"/>
    <sheet name="Exhibit 6.2" sheetId="26" r:id="rId25"/>
    <sheet name="Exhibit 6.3" sheetId="27" r:id="rId26"/>
    <sheet name="Exhibit 6.4" sheetId="28" r:id="rId27"/>
    <sheet name="Exhibit 7.1" sheetId="7" r:id="rId28"/>
    <sheet name="Exhibit 7.3" sheetId="29" r:id="rId29"/>
    <sheet name="Exhibit 8" sheetId="8" r:id="rId30"/>
  </sheets>
  <externalReferences>
    <externalReference r:id="rId31"/>
    <externalReference r:id="rId32"/>
    <externalReference r:id="rId33"/>
  </externalReferences>
  <definedNames>
    <definedName name="APY">'Exhibit 1'!#REF!</definedName>
    <definedName name="AY">'Exhibits 2.5.3 - 2.5.8'!#REF!</definedName>
    <definedName name="EPYear">'[1]Market Share'!$E$1</definedName>
    <definedName name="EX2_3Hybrid">[2]Exh2_3_Selected!$AJ$6:$AP$37</definedName>
    <definedName name="Incurred_Indemnity">#REF!</definedName>
    <definedName name="Incurred_Medical">#REF!</definedName>
    <definedName name="IndemTail">[2]Exh2_1!$I$43</definedName>
    <definedName name="IndTrend">[2]Exh_7.1_Paid_BS_Latest_Yr!$H$71</definedName>
    <definedName name="InjuryType">#REF!</definedName>
    <definedName name="MedCPI_Change">'[2]Exh4.2 Agenda'!$BM$2:$CP$65</definedName>
    <definedName name="MedicalSeverityTrend">'[3]Exhibit 6.3'!$L$38</definedName>
    <definedName name="MedTail">[2]Exh2_2!$I$42</definedName>
    <definedName name="MedTrend">[2]Exh_7.3_Paid_BS__Latest_Yr!$H$71</definedName>
    <definedName name="Number_of_Claims">#REF!</definedName>
    <definedName name="Paid_Indemnity">#REF!</definedName>
    <definedName name="Paid_Medical">#REF!</definedName>
    <definedName name="PDRInterval">#REF!</definedName>
    <definedName name="PercentMCCP">#REF!</definedName>
    <definedName name="PPY">'Exhibit 1'!#REF!</definedName>
    <definedName name="_xlnm.Print_Area" localSheetId="0">'Exhibit 1'!$A$1:$I$46</definedName>
    <definedName name="_xlnm.Print_Area" localSheetId="7">'Exhibit 2.4.1'!$A$1:$Q$63</definedName>
    <definedName name="_xlnm.Print_Area" localSheetId="9">'Exhibit 2.5.1'!$A$1:$V$38</definedName>
    <definedName name="_xlnm.Print_Area" localSheetId="12">'Exhibit 2.6.1'!$A$1:$V$73</definedName>
    <definedName name="_xlnm.Print_Area" localSheetId="15">'Exhibit 3.1'!$A$1:$H$46</definedName>
    <definedName name="_xlnm.Print_Area" localSheetId="16">'Exhibit 3.2'!$A$1:$H$50</definedName>
    <definedName name="_xlnm.Print_Area" localSheetId="17">'Exhibit 4.1'!$A$1:$M$51</definedName>
    <definedName name="_xlnm.Print_Area" localSheetId="18">'Exhibit 4.2'!$A$1:$L$51</definedName>
    <definedName name="_xlnm.Print_Area" localSheetId="19">'Exhibit 4.3'!$A$1:$H$48</definedName>
    <definedName name="_xlnm.Print_Area" localSheetId="20">'Exhibit 4.4'!$A$1:$I$52</definedName>
    <definedName name="_xlnm.Print_Area" localSheetId="21">'Exhibit 5.1'!$A$1:$E$45</definedName>
    <definedName name="_xlnm.Print_Area" localSheetId="22">'Exhibit 5.2'!$A$1:$S$60</definedName>
    <definedName name="_xlnm.Print_Area" localSheetId="23">'Exhibit 6.1'!$A$1:$I$90</definedName>
    <definedName name="_xlnm.Print_Area" localSheetId="26">'Exhibit 6.4'!$A$1:$Q$39</definedName>
    <definedName name="_xlnm.Print_Area" localSheetId="27">'Exhibit 7.1'!$A$1:$J$52</definedName>
    <definedName name="_xlnm.Print_Area" localSheetId="28">'Exhibit 7.3'!$A$1:$I$53</definedName>
    <definedName name="_xlnm.Print_Area" localSheetId="29">'Exhibit 8'!$A$1:$O$22</definedName>
    <definedName name="_xlnm.Print_Area" localSheetId="11">'Exhibits 2.5.3 - 2.5.8'!$A$1:$I$321</definedName>
    <definedName name="_xlnm.Print_Area" localSheetId="14">'Exhibits 2.6.3 - 2.6.8'!$A$1:$I$334</definedName>
    <definedName name="QDate">'Exhibit 1'!#REF!</definedName>
    <definedName name="TypeOfInjury">#REF!</definedName>
    <definedName name="Voucher_VR">#REF!</definedName>
    <definedName name="VQ">'Exhibit 1'!#REF!</definedName>
    <definedName name="VY">'Exhibit 1'!#REF!</definedName>
  </definedNames>
  <calcPr calcId="162913"/>
</workbook>
</file>

<file path=xl/calcChain.xml><?xml version="1.0" encoding="utf-8"?>
<calcChain xmlns="http://schemas.openxmlformats.org/spreadsheetml/2006/main">
  <c r="O11" i="8" l="1"/>
  <c r="M44" i="29" l="1"/>
  <c r="L47" i="29"/>
  <c r="L46" i="29"/>
  <c r="L45" i="29"/>
  <c r="K45" i="29"/>
  <c r="K46" i="29" s="1"/>
  <c r="K47" i="29" s="1"/>
  <c r="M45" i="29"/>
  <c r="M46" i="29" s="1"/>
  <c r="M47" i="29" s="1"/>
  <c r="L45" i="7"/>
  <c r="L46" i="7"/>
  <c r="L47" i="7"/>
  <c r="G41" i="29"/>
  <c r="G40" i="29"/>
  <c r="G39" i="29"/>
  <c r="G38" i="29"/>
  <c r="G37" i="29"/>
  <c r="G36" i="29"/>
  <c r="G35" i="29"/>
  <c r="G34" i="29"/>
  <c r="G33" i="29"/>
  <c r="G32" i="29"/>
  <c r="G31" i="29"/>
  <c r="G30" i="29"/>
  <c r="G29" i="29"/>
  <c r="G28" i="29"/>
  <c r="G27" i="29"/>
  <c r="G26" i="29"/>
  <c r="G25" i="29"/>
  <c r="G24" i="29"/>
  <c r="G23" i="29"/>
  <c r="G22" i="29"/>
  <c r="G21" i="29"/>
  <c r="G20" i="29"/>
  <c r="G19" i="29"/>
  <c r="G18" i="29"/>
  <c r="G17" i="29"/>
  <c r="G16" i="29"/>
  <c r="G15" i="29"/>
  <c r="G14" i="29"/>
  <c r="G13" i="29"/>
  <c r="G12" i="29"/>
  <c r="G11" i="29"/>
  <c r="G10" i="29"/>
  <c r="G42" i="29"/>
  <c r="E41" i="29"/>
  <c r="E40" i="29"/>
  <c r="E39" i="29"/>
  <c r="E38" i="29"/>
  <c r="E37" i="29"/>
  <c r="E36" i="29"/>
  <c r="E35" i="29"/>
  <c r="E34" i="29"/>
  <c r="E33" i="29"/>
  <c r="E32" i="29"/>
  <c r="E31" i="29"/>
  <c r="E30" i="29"/>
  <c r="E29" i="29"/>
  <c r="E28" i="29"/>
  <c r="E27" i="29"/>
  <c r="E26" i="29"/>
  <c r="E25" i="29"/>
  <c r="E24" i="29"/>
  <c r="E23" i="29"/>
  <c r="E22" i="29"/>
  <c r="E21" i="29"/>
  <c r="E20" i="29"/>
  <c r="E19" i="29"/>
  <c r="E18" i="29"/>
  <c r="E17" i="29"/>
  <c r="E16" i="29"/>
  <c r="E15" i="29"/>
  <c r="E14" i="29"/>
  <c r="E13" i="29"/>
  <c r="E12" i="29"/>
  <c r="E11" i="29"/>
  <c r="E10" i="29"/>
  <c r="E42" i="29"/>
  <c r="G41" i="7" l="1"/>
  <c r="G40" i="7"/>
  <c r="G39" i="7"/>
  <c r="G38" i="7"/>
  <c r="G37" i="7"/>
  <c r="G36" i="7"/>
  <c r="G35" i="7"/>
  <c r="G34" i="7"/>
  <c r="G33" i="7"/>
  <c r="G32" i="7"/>
  <c r="G31" i="7"/>
  <c r="G30" i="7"/>
  <c r="G29" i="7"/>
  <c r="G28" i="7"/>
  <c r="G27" i="7"/>
  <c r="G26" i="7"/>
  <c r="G25" i="7"/>
  <c r="G24" i="7"/>
  <c r="G23" i="7"/>
  <c r="G22" i="7"/>
  <c r="G21" i="7"/>
  <c r="G20" i="7"/>
  <c r="G19" i="7"/>
  <c r="G18" i="7"/>
  <c r="G17" i="7"/>
  <c r="G16" i="7"/>
  <c r="G15" i="7"/>
  <c r="G14" i="7"/>
  <c r="G13" i="7"/>
  <c r="G12" i="7"/>
  <c r="G11" i="7"/>
  <c r="G10" i="7"/>
  <c r="G42" i="7"/>
  <c r="E41" i="7"/>
  <c r="E40" i="7"/>
  <c r="E39" i="7"/>
  <c r="E38" i="7"/>
  <c r="E37" i="7"/>
  <c r="E36" i="7"/>
  <c r="E35" i="7"/>
  <c r="E34" i="7"/>
  <c r="E33" i="7"/>
  <c r="E32" i="7"/>
  <c r="E31" i="7"/>
  <c r="E30" i="7"/>
  <c r="E29" i="7"/>
  <c r="E28" i="7"/>
  <c r="E27" i="7"/>
  <c r="E26" i="7"/>
  <c r="E25" i="7"/>
  <c r="E24" i="7"/>
  <c r="E23" i="7"/>
  <c r="E22" i="7"/>
  <c r="E21" i="7"/>
  <c r="E20" i="7"/>
  <c r="E19" i="7"/>
  <c r="E18" i="7"/>
  <c r="E17" i="7"/>
  <c r="E16" i="7"/>
  <c r="E15" i="7"/>
  <c r="E14" i="7"/>
  <c r="E13" i="7"/>
  <c r="E12" i="7"/>
  <c r="E11" i="7"/>
  <c r="E10" i="7"/>
  <c r="E42" i="7"/>
  <c r="M46" i="7"/>
  <c r="M47" i="7" s="1"/>
  <c r="M45" i="7"/>
  <c r="M44" i="7"/>
  <c r="K46" i="7"/>
  <c r="K47" i="7"/>
  <c r="K45" i="7"/>
  <c r="P31" i="28"/>
  <c r="P30" i="28"/>
  <c r="H31" i="28"/>
  <c r="H30" i="28"/>
  <c r="J25" i="28"/>
  <c r="J24" i="28"/>
  <c r="J23" i="28"/>
  <c r="J22" i="28"/>
  <c r="J21" i="28"/>
  <c r="J20" i="28"/>
  <c r="J19" i="28"/>
  <c r="J26" i="28"/>
  <c r="U19" i="28"/>
  <c r="S19" i="28"/>
  <c r="S17" i="28"/>
  <c r="U17" i="28" s="1"/>
  <c r="R14" i="28"/>
  <c r="R15" i="28" s="1"/>
  <c r="R16" i="28" s="1"/>
  <c r="R17" i="28" s="1"/>
  <c r="R18" i="28" s="1"/>
  <c r="R19" i="28" s="1"/>
  <c r="H26" i="28"/>
  <c r="H25" i="28"/>
  <c r="H24" i="28"/>
  <c r="H23" i="28"/>
  <c r="H22" i="28"/>
  <c r="H21" i="28"/>
  <c r="H20" i="28"/>
  <c r="F22" i="28"/>
  <c r="F21" i="28"/>
  <c r="F20" i="28"/>
  <c r="F19" i="28"/>
  <c r="F17" i="28"/>
  <c r="H17" i="28" s="1"/>
  <c r="F16" i="28"/>
  <c r="F13" i="28"/>
  <c r="F23" i="28"/>
  <c r="F24" i="28"/>
  <c r="F25" i="28"/>
  <c r="F26" i="28"/>
  <c r="D26" i="28"/>
  <c r="D25" i="28"/>
  <c r="D24" i="28"/>
  <c r="D23" i="28"/>
  <c r="D22" i="28"/>
  <c r="D21" i="28"/>
  <c r="D20" i="28"/>
  <c r="D18" i="28"/>
  <c r="B17" i="28"/>
  <c r="B16" i="28"/>
  <c r="D16" i="28" s="1"/>
  <c r="B15" i="28"/>
  <c r="D15" i="28" s="1"/>
  <c r="B14" i="28"/>
  <c r="S14" i="28" s="1"/>
  <c r="U14" i="28" s="1"/>
  <c r="V14" i="28" s="1"/>
  <c r="B13" i="28"/>
  <c r="S13" i="28" s="1"/>
  <c r="U13" i="28" s="1"/>
  <c r="B18" i="28"/>
  <c r="S18" i="28" s="1"/>
  <c r="U18" i="28" s="1"/>
  <c r="J35" i="27"/>
  <c r="L35" i="27" s="1"/>
  <c r="J34" i="27"/>
  <c r="J33" i="27"/>
  <c r="L33" i="27" s="1"/>
  <c r="J32" i="27"/>
  <c r="J31" i="27"/>
  <c r="J30" i="27"/>
  <c r="L30" i="27" s="1"/>
  <c r="J29" i="27"/>
  <c r="J28" i="27"/>
  <c r="L29" i="27" s="1"/>
  <c r="J27" i="27"/>
  <c r="L27" i="27" s="1"/>
  <c r="J26" i="27"/>
  <c r="J25" i="27"/>
  <c r="J24" i="27"/>
  <c r="J23" i="27"/>
  <c r="J22" i="27"/>
  <c r="L23" i="27" s="1"/>
  <c r="J21" i="27"/>
  <c r="J20" i="27"/>
  <c r="L21" i="27" s="1"/>
  <c r="J19" i="27"/>
  <c r="J18" i="27"/>
  <c r="L18" i="27" s="1"/>
  <c r="J17" i="27"/>
  <c r="J16" i="27"/>
  <c r="L16" i="27" s="1"/>
  <c r="J15" i="27"/>
  <c r="J14" i="27"/>
  <c r="L15" i="27" s="1"/>
  <c r="J13" i="27"/>
  <c r="J12" i="27"/>
  <c r="L13" i="27" s="1"/>
  <c r="J11" i="27"/>
  <c r="L11" i="27" s="1"/>
  <c r="J10" i="27"/>
  <c r="J36" i="27"/>
  <c r="L36" i="27" s="1"/>
  <c r="J37" i="27"/>
  <c r="L37" i="27" s="1"/>
  <c r="J38" i="27"/>
  <c r="L38" i="27"/>
  <c r="L34" i="27"/>
  <c r="L32" i="27"/>
  <c r="L19" i="27"/>
  <c r="F29" i="27"/>
  <c r="F28" i="27"/>
  <c r="F27" i="27"/>
  <c r="F26" i="27"/>
  <c r="F25" i="27"/>
  <c r="F24" i="27"/>
  <c r="F23" i="27"/>
  <c r="F22" i="27"/>
  <c r="F21" i="27"/>
  <c r="F20" i="27"/>
  <c r="F19" i="27"/>
  <c r="F18" i="27"/>
  <c r="F17" i="27"/>
  <c r="F16" i="27"/>
  <c r="F15" i="27"/>
  <c r="F14" i="27"/>
  <c r="F13" i="27"/>
  <c r="F12" i="27"/>
  <c r="F11" i="27"/>
  <c r="F30" i="27"/>
  <c r="F37" i="27"/>
  <c r="F36" i="27"/>
  <c r="F35" i="27"/>
  <c r="F34" i="27"/>
  <c r="F33" i="27"/>
  <c r="F32" i="27"/>
  <c r="F38" i="27"/>
  <c r="L42" i="26"/>
  <c r="L41" i="26"/>
  <c r="L40" i="26"/>
  <c r="L37" i="26"/>
  <c r="L36" i="26"/>
  <c r="L35" i="26"/>
  <c r="L34" i="26"/>
  <c r="L33" i="26"/>
  <c r="L32" i="26"/>
  <c r="L31" i="26"/>
  <c r="L30" i="26"/>
  <c r="L29" i="26"/>
  <c r="L28" i="26"/>
  <c r="L27" i="26"/>
  <c r="L26" i="26"/>
  <c r="L25" i="26"/>
  <c r="L24" i="26"/>
  <c r="L23" i="26"/>
  <c r="L22" i="26"/>
  <c r="L21" i="26"/>
  <c r="L20" i="26"/>
  <c r="L19" i="26"/>
  <c r="L18" i="26"/>
  <c r="L17" i="26"/>
  <c r="L16" i="26"/>
  <c r="L15" i="26"/>
  <c r="L14" i="26"/>
  <c r="L13" i="26"/>
  <c r="L12" i="26"/>
  <c r="L11" i="26"/>
  <c r="L38" i="26"/>
  <c r="J35" i="26"/>
  <c r="J34" i="26"/>
  <c r="J33" i="26"/>
  <c r="J32" i="26"/>
  <c r="J31" i="26"/>
  <c r="J30" i="26"/>
  <c r="J29" i="26"/>
  <c r="J28" i="26"/>
  <c r="J27" i="26"/>
  <c r="J26" i="26"/>
  <c r="J25" i="26"/>
  <c r="J24" i="26"/>
  <c r="J23" i="26"/>
  <c r="J22" i="26"/>
  <c r="J21" i="26"/>
  <c r="J20" i="26"/>
  <c r="J19" i="26"/>
  <c r="J18" i="26"/>
  <c r="J17" i="26"/>
  <c r="J16" i="26"/>
  <c r="J15" i="26"/>
  <c r="J14" i="26"/>
  <c r="J13" i="26"/>
  <c r="J12" i="26"/>
  <c r="J11" i="26"/>
  <c r="J10" i="26"/>
  <c r="J36" i="26"/>
  <c r="J37" i="26"/>
  <c r="J38" i="26"/>
  <c r="H37" i="26"/>
  <c r="H36" i="26"/>
  <c r="H35" i="26"/>
  <c r="H34" i="26"/>
  <c r="H33" i="26"/>
  <c r="H32" i="26"/>
  <c r="H31" i="26"/>
  <c r="H30" i="26"/>
  <c r="H29" i="26"/>
  <c r="H28" i="26"/>
  <c r="H27" i="26"/>
  <c r="H26" i="26"/>
  <c r="H25" i="26"/>
  <c r="H24" i="26"/>
  <c r="H23" i="26"/>
  <c r="H22" i="26"/>
  <c r="H21" i="26"/>
  <c r="H20" i="26"/>
  <c r="H19" i="26"/>
  <c r="H18" i="26"/>
  <c r="H17" i="26"/>
  <c r="H16" i="26"/>
  <c r="H15" i="26"/>
  <c r="H14" i="26"/>
  <c r="H13" i="26"/>
  <c r="H12" i="26"/>
  <c r="H11" i="26"/>
  <c r="H10" i="26"/>
  <c r="H38" i="26"/>
  <c r="F37" i="26"/>
  <c r="F36" i="26"/>
  <c r="F35" i="26"/>
  <c r="F34" i="26"/>
  <c r="F33" i="26"/>
  <c r="F32" i="26"/>
  <c r="F31" i="26"/>
  <c r="F30" i="26"/>
  <c r="F29" i="26"/>
  <c r="F28" i="26"/>
  <c r="F27" i="26"/>
  <c r="F26" i="26"/>
  <c r="F25" i="26"/>
  <c r="F24" i="26"/>
  <c r="F23" i="26"/>
  <c r="F22" i="26"/>
  <c r="F21" i="26"/>
  <c r="F20" i="26"/>
  <c r="F19" i="26"/>
  <c r="F18" i="26"/>
  <c r="F17" i="26"/>
  <c r="F16" i="26"/>
  <c r="F15" i="26"/>
  <c r="F14" i="26"/>
  <c r="F13" i="26"/>
  <c r="F12" i="26"/>
  <c r="F11" i="26"/>
  <c r="F38" i="26"/>
  <c r="S42" i="25"/>
  <c r="S39" i="25"/>
  <c r="S36" i="25"/>
  <c r="S34" i="25"/>
  <c r="S31" i="25"/>
  <c r="S28" i="25"/>
  <c r="S26" i="25"/>
  <c r="S23" i="25"/>
  <c r="S20" i="25"/>
  <c r="S18" i="25"/>
  <c r="S15" i="25"/>
  <c r="S12" i="25"/>
  <c r="I43" i="25"/>
  <c r="I42" i="25"/>
  <c r="I41" i="25"/>
  <c r="I40" i="25"/>
  <c r="I39" i="25"/>
  <c r="I38" i="25"/>
  <c r="I37" i="25"/>
  <c r="I36" i="25"/>
  <c r="I35" i="25"/>
  <c r="I34" i="25"/>
  <c r="I33" i="25"/>
  <c r="I32" i="25"/>
  <c r="I31" i="25"/>
  <c r="I30" i="25"/>
  <c r="I29" i="25"/>
  <c r="I28" i="25"/>
  <c r="I27" i="25"/>
  <c r="I26" i="25"/>
  <c r="I25" i="25"/>
  <c r="I24" i="25"/>
  <c r="I23" i="25"/>
  <c r="I22" i="25"/>
  <c r="I44" i="25"/>
  <c r="C43" i="25"/>
  <c r="S43" i="25" s="1"/>
  <c r="C42" i="25"/>
  <c r="C41" i="25"/>
  <c r="S41" i="25" s="1"/>
  <c r="C40" i="25"/>
  <c r="S40" i="25" s="1"/>
  <c r="C39" i="25"/>
  <c r="C38" i="25"/>
  <c r="S38" i="25" s="1"/>
  <c r="C37" i="25"/>
  <c r="S37" i="25" s="1"/>
  <c r="C36" i="25"/>
  <c r="C35" i="25"/>
  <c r="S35" i="25" s="1"/>
  <c r="C34" i="25"/>
  <c r="C33" i="25"/>
  <c r="S33" i="25" s="1"/>
  <c r="C32" i="25"/>
  <c r="S32" i="25" s="1"/>
  <c r="C31" i="25"/>
  <c r="C30" i="25"/>
  <c r="S30" i="25" s="1"/>
  <c r="C29" i="25"/>
  <c r="S29" i="25" s="1"/>
  <c r="C28" i="25"/>
  <c r="C27" i="25"/>
  <c r="S27" i="25" s="1"/>
  <c r="C26" i="25"/>
  <c r="C25" i="25"/>
  <c r="S25" i="25" s="1"/>
  <c r="C24" i="25"/>
  <c r="S24" i="25" s="1"/>
  <c r="C23" i="25"/>
  <c r="C22" i="25"/>
  <c r="S22" i="25" s="1"/>
  <c r="C21" i="25"/>
  <c r="S21" i="25" s="1"/>
  <c r="C20" i="25"/>
  <c r="C19" i="25"/>
  <c r="S19" i="25" s="1"/>
  <c r="C18" i="25"/>
  <c r="C17" i="25"/>
  <c r="S17" i="25" s="1"/>
  <c r="C16" i="25"/>
  <c r="S16" i="25" s="1"/>
  <c r="C15" i="25"/>
  <c r="C14" i="25"/>
  <c r="S14" i="25" s="1"/>
  <c r="C13" i="25"/>
  <c r="S13" i="25" s="1"/>
  <c r="C12" i="25"/>
  <c r="C44" i="25"/>
  <c r="S44" i="25" s="1"/>
  <c r="E35" i="5"/>
  <c r="E34" i="5"/>
  <c r="E33" i="5" s="1"/>
  <c r="E32" i="5" s="1"/>
  <c r="E31" i="5" s="1"/>
  <c r="E30" i="5" s="1"/>
  <c r="E29" i="5" s="1"/>
  <c r="E28" i="5" s="1"/>
  <c r="E27" i="5" s="1"/>
  <c r="E26" i="5" s="1"/>
  <c r="E25" i="5" s="1"/>
  <c r="E24" i="5" s="1"/>
  <c r="E23" i="5" s="1"/>
  <c r="E22" i="5" s="1"/>
  <c r="E21" i="5" s="1"/>
  <c r="E20" i="5" s="1"/>
  <c r="E19" i="5" s="1"/>
  <c r="E18" i="5" s="1"/>
  <c r="E17" i="5" s="1"/>
  <c r="E16" i="5" s="1"/>
  <c r="E15" i="5" s="1"/>
  <c r="E14" i="5" s="1"/>
  <c r="E13" i="5" s="1"/>
  <c r="E12" i="5" s="1"/>
  <c r="E11" i="5" s="1"/>
  <c r="E10" i="5" s="1"/>
  <c r="E9" i="5" s="1"/>
  <c r="E8" i="5" s="1"/>
  <c r="E7" i="5" s="1"/>
  <c r="E6" i="5" s="1"/>
  <c r="E5" i="5" s="1"/>
  <c r="E36" i="5"/>
  <c r="E37" i="5"/>
  <c r="I40" i="24"/>
  <c r="I39" i="24" s="1"/>
  <c r="I38" i="24" s="1"/>
  <c r="I37" i="24" s="1"/>
  <c r="I36" i="24" s="1"/>
  <c r="I35" i="24" s="1"/>
  <c r="I34" i="24" s="1"/>
  <c r="I33" i="24" s="1"/>
  <c r="I32" i="24" s="1"/>
  <c r="I31" i="24" s="1"/>
  <c r="I30" i="24" s="1"/>
  <c r="I29" i="24" s="1"/>
  <c r="I28" i="24" s="1"/>
  <c r="I27" i="24" s="1"/>
  <c r="I26" i="24" s="1"/>
  <c r="I25" i="24" s="1"/>
  <c r="I24" i="24" s="1"/>
  <c r="I23" i="24" s="1"/>
  <c r="I22" i="24" s="1"/>
  <c r="I21" i="24" s="1"/>
  <c r="I20" i="24" s="1"/>
  <c r="I19" i="24" s="1"/>
  <c r="I18" i="24" s="1"/>
  <c r="I17" i="24" s="1"/>
  <c r="I16" i="24" s="1"/>
  <c r="I15" i="24" s="1"/>
  <c r="I14" i="24" s="1"/>
  <c r="I13" i="24" s="1"/>
  <c r="I12" i="24" s="1"/>
  <c r="I11" i="24" s="1"/>
  <c r="I10" i="24" s="1"/>
  <c r="I41" i="24"/>
  <c r="I42" i="24"/>
  <c r="G44" i="24"/>
  <c r="G43" i="24"/>
  <c r="G42" i="24"/>
  <c r="G41" i="24"/>
  <c r="G40" i="24"/>
  <c r="G39" i="24"/>
  <c r="G38" i="24"/>
  <c r="G37" i="24"/>
  <c r="G36" i="24"/>
  <c r="G35" i="24"/>
  <c r="G34" i="24"/>
  <c r="G33" i="24"/>
  <c r="G32" i="24"/>
  <c r="G31" i="24"/>
  <c r="G30" i="24"/>
  <c r="G29" i="24"/>
  <c r="G28" i="24"/>
  <c r="G27" i="24"/>
  <c r="G26" i="24"/>
  <c r="G25" i="24"/>
  <c r="G24" i="24"/>
  <c r="G23" i="24"/>
  <c r="G22" i="24"/>
  <c r="G21" i="24"/>
  <c r="G20" i="24"/>
  <c r="G19" i="24"/>
  <c r="G18" i="24"/>
  <c r="G17" i="24"/>
  <c r="G16" i="24"/>
  <c r="G15" i="24"/>
  <c r="G14" i="24"/>
  <c r="G13" i="24"/>
  <c r="G12" i="24"/>
  <c r="G11" i="24"/>
  <c r="G10" i="24"/>
  <c r="C44" i="24"/>
  <c r="C43" i="24"/>
  <c r="C42" i="24"/>
  <c r="C41" i="24"/>
  <c r="C40" i="24"/>
  <c r="C39" i="24"/>
  <c r="C38" i="24"/>
  <c r="C37" i="24"/>
  <c r="C36" i="24"/>
  <c r="C35" i="24"/>
  <c r="C34" i="24"/>
  <c r="C33" i="24"/>
  <c r="C32" i="24"/>
  <c r="C31" i="24"/>
  <c r="C30" i="24"/>
  <c r="C29" i="24"/>
  <c r="C28" i="24"/>
  <c r="C27" i="24"/>
  <c r="C26" i="24"/>
  <c r="C25" i="24"/>
  <c r="C24" i="24"/>
  <c r="C23" i="24"/>
  <c r="C22" i="24"/>
  <c r="C21" i="24"/>
  <c r="C20" i="24"/>
  <c r="C19" i="24"/>
  <c r="C18" i="24"/>
  <c r="C17" i="24"/>
  <c r="C16" i="24"/>
  <c r="C15" i="24"/>
  <c r="C14" i="24"/>
  <c r="C13" i="24"/>
  <c r="C12" i="24"/>
  <c r="C11" i="24"/>
  <c r="C10" i="24"/>
  <c r="E44" i="24"/>
  <c r="E43" i="24"/>
  <c r="E42" i="24"/>
  <c r="E41" i="24"/>
  <c r="E40" i="24"/>
  <c r="E39" i="24"/>
  <c r="E38" i="24"/>
  <c r="E37" i="24"/>
  <c r="E36" i="24"/>
  <c r="E35" i="24"/>
  <c r="E34" i="24"/>
  <c r="E33" i="24"/>
  <c r="E32" i="24"/>
  <c r="E31" i="24"/>
  <c r="E30" i="24"/>
  <c r="E29" i="24"/>
  <c r="E28" i="24"/>
  <c r="E27" i="24"/>
  <c r="E26" i="24"/>
  <c r="E25" i="24"/>
  <c r="E24" i="24"/>
  <c r="E23" i="24"/>
  <c r="E22" i="24"/>
  <c r="E21" i="24"/>
  <c r="E20" i="24"/>
  <c r="E19" i="24"/>
  <c r="E18" i="24"/>
  <c r="E17" i="24"/>
  <c r="E16" i="24"/>
  <c r="E15" i="24"/>
  <c r="E14" i="24"/>
  <c r="E13" i="24"/>
  <c r="E12" i="24"/>
  <c r="E11" i="24"/>
  <c r="E10" i="24"/>
  <c r="E45" i="24"/>
  <c r="C45" i="24"/>
  <c r="G43" i="23"/>
  <c r="G42" i="23"/>
  <c r="G41" i="23"/>
  <c r="G40" i="23"/>
  <c r="G39" i="23"/>
  <c r="G38" i="23"/>
  <c r="G37" i="23"/>
  <c r="G36" i="23"/>
  <c r="G35" i="23"/>
  <c r="G34" i="23"/>
  <c r="G33" i="23"/>
  <c r="G32" i="23"/>
  <c r="G31" i="23"/>
  <c r="G30" i="23"/>
  <c r="G29" i="23"/>
  <c r="G28" i="23"/>
  <c r="G27" i="23"/>
  <c r="G26" i="23"/>
  <c r="G25" i="23"/>
  <c r="G24" i="23"/>
  <c r="G23" i="23"/>
  <c r="G22" i="23"/>
  <c r="G21" i="23"/>
  <c r="G20" i="23"/>
  <c r="G19" i="23"/>
  <c r="G18" i="23"/>
  <c r="G17" i="23"/>
  <c r="G16" i="23"/>
  <c r="G15" i="23"/>
  <c r="G14" i="23"/>
  <c r="G13" i="23"/>
  <c r="G12" i="23"/>
  <c r="G11" i="23"/>
  <c r="G10" i="23"/>
  <c r="G9" i="23"/>
  <c r="G44" i="23"/>
  <c r="L44" i="22"/>
  <c r="L43" i="22"/>
  <c r="L42" i="22"/>
  <c r="L41" i="22"/>
  <c r="L40" i="22"/>
  <c r="L39" i="22"/>
  <c r="L38" i="22"/>
  <c r="L37" i="22"/>
  <c r="L36" i="22"/>
  <c r="L35" i="22"/>
  <c r="L34" i="22"/>
  <c r="L33" i="22"/>
  <c r="L32" i="22"/>
  <c r="L31" i="22"/>
  <c r="L30" i="22"/>
  <c r="L29" i="22"/>
  <c r="L28" i="22"/>
  <c r="L27" i="22"/>
  <c r="L26" i="22"/>
  <c r="L25" i="22"/>
  <c r="L24" i="22"/>
  <c r="L23" i="22"/>
  <c r="L22" i="22"/>
  <c r="L21" i="22"/>
  <c r="L20" i="22"/>
  <c r="L19" i="22"/>
  <c r="L18" i="22"/>
  <c r="L17" i="22"/>
  <c r="L16" i="22"/>
  <c r="L15" i="22"/>
  <c r="L14" i="22"/>
  <c r="L13" i="22"/>
  <c r="L12" i="22"/>
  <c r="L11" i="22"/>
  <c r="L10" i="22"/>
  <c r="L45" i="22"/>
  <c r="J45" i="22"/>
  <c r="J44" i="22"/>
  <c r="J43" i="22"/>
  <c r="J42" i="22"/>
  <c r="J41" i="22"/>
  <c r="J40" i="22"/>
  <c r="J39" i="22"/>
  <c r="J38" i="22"/>
  <c r="J37" i="22"/>
  <c r="J36" i="22"/>
  <c r="J35" i="22"/>
  <c r="J34" i="22"/>
  <c r="J33" i="22"/>
  <c r="J32" i="22"/>
  <c r="J31" i="22"/>
  <c r="J30" i="22"/>
  <c r="J29" i="22"/>
  <c r="J28" i="22"/>
  <c r="J27" i="22"/>
  <c r="J26" i="22"/>
  <c r="J25" i="22"/>
  <c r="J24" i="22"/>
  <c r="J23" i="22"/>
  <c r="J22" i="22"/>
  <c r="J21" i="22"/>
  <c r="J20" i="22"/>
  <c r="J19" i="22"/>
  <c r="J18" i="22"/>
  <c r="J17" i="22"/>
  <c r="J16" i="22"/>
  <c r="J15" i="22"/>
  <c r="J14" i="22"/>
  <c r="J13" i="22"/>
  <c r="J12" i="22"/>
  <c r="J11" i="22"/>
  <c r="D44" i="22"/>
  <c r="D43" i="22"/>
  <c r="D42" i="22"/>
  <c r="D41" i="22"/>
  <c r="D40" i="22"/>
  <c r="D39" i="22"/>
  <c r="D38" i="22"/>
  <c r="D37" i="22"/>
  <c r="D36" i="22"/>
  <c r="D35" i="22"/>
  <c r="D34" i="22"/>
  <c r="D33" i="22"/>
  <c r="D32" i="22"/>
  <c r="D31" i="22"/>
  <c r="D30" i="22"/>
  <c r="D29" i="22"/>
  <c r="D28" i="22"/>
  <c r="D27" i="22"/>
  <c r="D26" i="22"/>
  <c r="D25" i="22"/>
  <c r="D24" i="22"/>
  <c r="D23" i="22"/>
  <c r="D22" i="22"/>
  <c r="D21" i="22"/>
  <c r="D20" i="22"/>
  <c r="D19" i="22"/>
  <c r="D18" i="22"/>
  <c r="D17" i="22"/>
  <c r="D16" i="22"/>
  <c r="D15" i="22"/>
  <c r="D14" i="22"/>
  <c r="D13" i="22"/>
  <c r="D12" i="22"/>
  <c r="D11" i="22"/>
  <c r="D10" i="22"/>
  <c r="D9" i="22"/>
  <c r="D8" i="22"/>
  <c r="D45" i="22"/>
  <c r="Q40" i="4"/>
  <c r="Q39" i="4" s="1"/>
  <c r="Q38" i="4" s="1"/>
  <c r="Q37" i="4" s="1"/>
  <c r="Q36" i="4" s="1"/>
  <c r="Q35" i="4" s="1"/>
  <c r="Q34" i="4" s="1"/>
  <c r="Q33" i="4" s="1"/>
  <c r="Q32" i="4" s="1"/>
  <c r="Q31" i="4" s="1"/>
  <c r="Q30" i="4" s="1"/>
  <c r="Q29" i="4" s="1"/>
  <c r="Q28" i="4" s="1"/>
  <c r="Q27" i="4" s="1"/>
  <c r="Q26" i="4" s="1"/>
  <c r="Q25" i="4" s="1"/>
  <c r="Q24" i="4" s="1"/>
  <c r="Q23" i="4" s="1"/>
  <c r="Q22" i="4" s="1"/>
  <c r="Q21" i="4" s="1"/>
  <c r="Q20" i="4" s="1"/>
  <c r="Q19" i="4" s="1"/>
  <c r="Q18" i="4" s="1"/>
  <c r="Q17" i="4" s="1"/>
  <c r="Q16" i="4" s="1"/>
  <c r="Q15" i="4" s="1"/>
  <c r="Q14" i="4" s="1"/>
  <c r="Q13" i="4" s="1"/>
  <c r="Q12" i="4" s="1"/>
  <c r="Q11" i="4" s="1"/>
  <c r="Q10" i="4" s="1"/>
  <c r="Q41" i="4"/>
  <c r="Q42" i="4"/>
  <c r="O45" i="4"/>
  <c r="O44" i="4"/>
  <c r="O43" i="4"/>
  <c r="O42" i="4"/>
  <c r="O41" i="4"/>
  <c r="O40" i="4"/>
  <c r="O39" i="4"/>
  <c r="O38" i="4"/>
  <c r="O37" i="4"/>
  <c r="O36" i="4"/>
  <c r="O35" i="4"/>
  <c r="O34" i="4"/>
  <c r="O33" i="4"/>
  <c r="O32" i="4"/>
  <c r="O31" i="4"/>
  <c r="O30" i="4"/>
  <c r="O29" i="4"/>
  <c r="O28" i="4"/>
  <c r="O27" i="4"/>
  <c r="O26" i="4"/>
  <c r="O25" i="4"/>
  <c r="O24" i="4"/>
  <c r="O23" i="4"/>
  <c r="O22" i="4"/>
  <c r="O21" i="4"/>
  <c r="O20" i="4"/>
  <c r="O19" i="4"/>
  <c r="O18" i="4"/>
  <c r="O17" i="4"/>
  <c r="O16" i="4"/>
  <c r="O15" i="4"/>
  <c r="O14" i="4"/>
  <c r="O13" i="4"/>
  <c r="O12" i="4"/>
  <c r="O11" i="4"/>
  <c r="O10" i="4"/>
  <c r="L41" i="4"/>
  <c r="L42" i="4"/>
  <c r="J45" i="4"/>
  <c r="J44" i="4"/>
  <c r="L40" i="4" s="1"/>
  <c r="L39" i="4" s="1"/>
  <c r="L38" i="4" s="1"/>
  <c r="L37" i="4" s="1"/>
  <c r="L36" i="4" s="1"/>
  <c r="L35" i="4" s="1"/>
  <c r="L34" i="4" s="1"/>
  <c r="L33" i="4" s="1"/>
  <c r="L32" i="4" s="1"/>
  <c r="L31" i="4" s="1"/>
  <c r="L30" i="4" s="1"/>
  <c r="L29" i="4" s="1"/>
  <c r="L26" i="4" s="1"/>
  <c r="J43" i="4"/>
  <c r="J42" i="4"/>
  <c r="J41" i="4"/>
  <c r="J40" i="4"/>
  <c r="J39" i="4"/>
  <c r="J38" i="4"/>
  <c r="J37" i="4"/>
  <c r="J36" i="4"/>
  <c r="J35" i="4"/>
  <c r="J34" i="4"/>
  <c r="J33" i="4"/>
  <c r="J32" i="4"/>
  <c r="J31" i="4"/>
  <c r="J30" i="4"/>
  <c r="J29" i="4"/>
  <c r="J28" i="4"/>
  <c r="J27" i="4"/>
  <c r="J26" i="4"/>
  <c r="J25" i="4"/>
  <c r="J24" i="4"/>
  <c r="J23" i="4"/>
  <c r="J22" i="4"/>
  <c r="J21" i="4"/>
  <c r="J20" i="4"/>
  <c r="J19" i="4"/>
  <c r="J18" i="4"/>
  <c r="J17" i="4"/>
  <c r="J16" i="4"/>
  <c r="J15" i="4"/>
  <c r="J14" i="4"/>
  <c r="J13" i="4"/>
  <c r="J12" i="4"/>
  <c r="J11" i="4"/>
  <c r="J10" i="4"/>
  <c r="F41" i="18"/>
  <c r="G41" i="18" s="1"/>
  <c r="F42" i="18"/>
  <c r="G42" i="18" s="1"/>
  <c r="F43" i="18"/>
  <c r="G43" i="18" s="1"/>
  <c r="F44" i="18"/>
  <c r="G44" i="18" s="1"/>
  <c r="F45" i="18"/>
  <c r="G45" i="18" s="1"/>
  <c r="F40" i="18"/>
  <c r="G40" i="18" s="1"/>
  <c r="E45" i="18"/>
  <c r="E44" i="18"/>
  <c r="E43" i="18"/>
  <c r="E42" i="18"/>
  <c r="E41" i="18"/>
  <c r="E40" i="18"/>
  <c r="E39" i="18"/>
  <c r="F39" i="18" s="1"/>
  <c r="G39" i="18" s="1"/>
  <c r="E38" i="18"/>
  <c r="F38" i="18" s="1"/>
  <c r="G38" i="18" s="1"/>
  <c r="E37" i="18"/>
  <c r="F37" i="18" s="1"/>
  <c r="G37" i="18" s="1"/>
  <c r="E36" i="18"/>
  <c r="F36" i="18" s="1"/>
  <c r="G36" i="18" s="1"/>
  <c r="E35" i="18"/>
  <c r="F35" i="18" s="1"/>
  <c r="G35" i="18" s="1"/>
  <c r="E34" i="18"/>
  <c r="F34" i="18" s="1"/>
  <c r="G34" i="18" s="1"/>
  <c r="E33" i="18"/>
  <c r="F33" i="18" s="1"/>
  <c r="G33" i="18" s="1"/>
  <c r="E32" i="18"/>
  <c r="F32" i="18" s="1"/>
  <c r="G32" i="18" s="1"/>
  <c r="E31" i="18"/>
  <c r="F31" i="18" s="1"/>
  <c r="G31" i="18" s="1"/>
  <c r="E30" i="18"/>
  <c r="F30" i="18" s="1"/>
  <c r="G30" i="18" s="1"/>
  <c r="E29" i="18"/>
  <c r="F29" i="18" s="1"/>
  <c r="G29" i="18" s="1"/>
  <c r="E28" i="18"/>
  <c r="F28" i="18" s="1"/>
  <c r="G28" i="18" s="1"/>
  <c r="E27" i="18"/>
  <c r="F27" i="18" s="1"/>
  <c r="G27" i="18" s="1"/>
  <c r="E26" i="18"/>
  <c r="F26" i="18" s="1"/>
  <c r="G26" i="18" s="1"/>
  <c r="E25" i="18"/>
  <c r="F25" i="18" s="1"/>
  <c r="G25" i="18" s="1"/>
  <c r="E24" i="18"/>
  <c r="F24" i="18" s="1"/>
  <c r="G24" i="18" s="1"/>
  <c r="E23" i="18"/>
  <c r="F23" i="18" s="1"/>
  <c r="G23" i="18" s="1"/>
  <c r="E22" i="18"/>
  <c r="F22" i="18" s="1"/>
  <c r="G22" i="18" s="1"/>
  <c r="E21" i="18"/>
  <c r="F21" i="18" s="1"/>
  <c r="G21" i="18" s="1"/>
  <c r="E20" i="18"/>
  <c r="F20" i="18" s="1"/>
  <c r="G20" i="18" s="1"/>
  <c r="E19" i="18"/>
  <c r="F19" i="18" s="1"/>
  <c r="G19" i="18" s="1"/>
  <c r="E18" i="18"/>
  <c r="F18" i="18" s="1"/>
  <c r="G18" i="18" s="1"/>
  <c r="E17" i="18"/>
  <c r="F17" i="18" s="1"/>
  <c r="G17" i="18" s="1"/>
  <c r="E16" i="18"/>
  <c r="F16" i="18" s="1"/>
  <c r="G16" i="18" s="1"/>
  <c r="E15" i="18"/>
  <c r="F15" i="18" s="1"/>
  <c r="G15" i="18" s="1"/>
  <c r="E14" i="18"/>
  <c r="F14" i="18" s="1"/>
  <c r="G14" i="18" s="1"/>
  <c r="E13" i="18"/>
  <c r="F13" i="18" s="1"/>
  <c r="G13" i="18" s="1"/>
  <c r="D24" i="18"/>
  <c r="D23" i="18"/>
  <c r="D22" i="18"/>
  <c r="D21" i="18"/>
  <c r="D20" i="18"/>
  <c r="D19" i="18"/>
  <c r="D18" i="18"/>
  <c r="D17" i="18"/>
  <c r="D16" i="18"/>
  <c r="D15" i="18"/>
  <c r="D14" i="18"/>
  <c r="D13" i="18"/>
  <c r="D25" i="18"/>
  <c r="U58" i="16"/>
  <c r="D39" i="18"/>
  <c r="D38" i="18"/>
  <c r="D37" i="18"/>
  <c r="D36" i="18"/>
  <c r="D35" i="18"/>
  <c r="D34" i="18"/>
  <c r="D33" i="18"/>
  <c r="D32" i="18"/>
  <c r="D31" i="18"/>
  <c r="D30" i="18"/>
  <c r="D29" i="18"/>
  <c r="D28" i="18"/>
  <c r="D27" i="18"/>
  <c r="D26" i="18"/>
  <c r="D40" i="18"/>
  <c r="D44" i="18"/>
  <c r="D43" i="18"/>
  <c r="D42" i="18"/>
  <c r="D41" i="18"/>
  <c r="D45" i="18"/>
  <c r="B24" i="18"/>
  <c r="B23" i="18"/>
  <c r="B22" i="18"/>
  <c r="B21" i="18"/>
  <c r="B20" i="18"/>
  <c r="B19" i="18"/>
  <c r="B18" i="18"/>
  <c r="B17" i="18"/>
  <c r="B16" i="18"/>
  <c r="B15" i="18"/>
  <c r="B14" i="18"/>
  <c r="B13" i="18"/>
  <c r="B25" i="18"/>
  <c r="B44" i="18"/>
  <c r="B43" i="18"/>
  <c r="B42" i="18"/>
  <c r="B41" i="18"/>
  <c r="B40" i="18"/>
  <c r="B39" i="18"/>
  <c r="B38" i="18"/>
  <c r="B37" i="18"/>
  <c r="B36" i="18"/>
  <c r="B35" i="18"/>
  <c r="B34" i="18"/>
  <c r="B33" i="18"/>
  <c r="B32" i="18"/>
  <c r="B31" i="18"/>
  <c r="B30" i="18"/>
  <c r="B29" i="18"/>
  <c r="B28" i="18"/>
  <c r="B27" i="18"/>
  <c r="B26" i="18"/>
  <c r="B45" i="18"/>
  <c r="E43" i="3"/>
  <c r="G43" i="3" s="1"/>
  <c r="C42" i="7" s="1"/>
  <c r="I42" i="7" s="1"/>
  <c r="E42" i="3"/>
  <c r="G42" i="3" s="1"/>
  <c r="C41" i="7" s="1"/>
  <c r="I41" i="7" s="1"/>
  <c r="E41" i="3"/>
  <c r="G41" i="3" s="1"/>
  <c r="C40" i="7" s="1"/>
  <c r="I40" i="7" s="1"/>
  <c r="E40" i="3"/>
  <c r="G40" i="3" s="1"/>
  <c r="C39" i="7" s="1"/>
  <c r="I39" i="7" s="1"/>
  <c r="E39" i="3"/>
  <c r="G39" i="3" s="1"/>
  <c r="C38" i="7" s="1"/>
  <c r="I38" i="7" s="1"/>
  <c r="E38" i="3"/>
  <c r="G38" i="3" s="1"/>
  <c r="C37" i="7" s="1"/>
  <c r="I37" i="7" s="1"/>
  <c r="E37" i="3"/>
  <c r="G37" i="3" s="1"/>
  <c r="C36" i="7" s="1"/>
  <c r="I36" i="7" s="1"/>
  <c r="E36" i="3"/>
  <c r="G36" i="3" s="1"/>
  <c r="C35" i="7" s="1"/>
  <c r="I35" i="7" s="1"/>
  <c r="E35" i="3"/>
  <c r="G35" i="3" s="1"/>
  <c r="C34" i="7" s="1"/>
  <c r="I34" i="7" s="1"/>
  <c r="E34" i="3"/>
  <c r="G34" i="3" s="1"/>
  <c r="C33" i="7" s="1"/>
  <c r="I33" i="7" s="1"/>
  <c r="E33" i="3"/>
  <c r="G33" i="3" s="1"/>
  <c r="C32" i="7" s="1"/>
  <c r="I32" i="7" s="1"/>
  <c r="E32" i="3"/>
  <c r="G32" i="3" s="1"/>
  <c r="C31" i="7" s="1"/>
  <c r="I31" i="7" s="1"/>
  <c r="E31" i="3"/>
  <c r="G31" i="3" s="1"/>
  <c r="C30" i="7" s="1"/>
  <c r="I30" i="7" s="1"/>
  <c r="E30" i="3"/>
  <c r="G30" i="3" s="1"/>
  <c r="C29" i="7" s="1"/>
  <c r="I29" i="7" s="1"/>
  <c r="E29" i="3"/>
  <c r="G29" i="3" s="1"/>
  <c r="C28" i="7" s="1"/>
  <c r="I28" i="7" s="1"/>
  <c r="E28" i="3"/>
  <c r="G28" i="3" s="1"/>
  <c r="C27" i="7" s="1"/>
  <c r="I27" i="7" s="1"/>
  <c r="E27" i="3"/>
  <c r="G27" i="3" s="1"/>
  <c r="C26" i="7" s="1"/>
  <c r="I26" i="7" s="1"/>
  <c r="E26" i="3"/>
  <c r="G26" i="3" s="1"/>
  <c r="C25" i="7" s="1"/>
  <c r="I25" i="7" s="1"/>
  <c r="E25" i="3"/>
  <c r="G25" i="3" s="1"/>
  <c r="C24" i="7" s="1"/>
  <c r="I24" i="7" s="1"/>
  <c r="E24" i="3"/>
  <c r="G24" i="3" s="1"/>
  <c r="C23" i="7" s="1"/>
  <c r="I23" i="7" s="1"/>
  <c r="E23" i="3"/>
  <c r="G23" i="3" s="1"/>
  <c r="C22" i="7" s="1"/>
  <c r="I22" i="7" s="1"/>
  <c r="E22" i="3"/>
  <c r="G22" i="3" s="1"/>
  <c r="C21" i="7" s="1"/>
  <c r="I21" i="7" s="1"/>
  <c r="E21" i="3"/>
  <c r="G21" i="3" s="1"/>
  <c r="C20" i="7" s="1"/>
  <c r="I20" i="7" s="1"/>
  <c r="E20" i="3"/>
  <c r="G20" i="3" s="1"/>
  <c r="C19" i="7" s="1"/>
  <c r="I19" i="7" s="1"/>
  <c r="E19" i="3"/>
  <c r="G19" i="3" s="1"/>
  <c r="C18" i="7" s="1"/>
  <c r="I18" i="7" s="1"/>
  <c r="E18" i="3"/>
  <c r="G18" i="3" s="1"/>
  <c r="C17" i="7" s="1"/>
  <c r="I17" i="7" s="1"/>
  <c r="E17" i="3"/>
  <c r="G17" i="3" s="1"/>
  <c r="C16" i="7" s="1"/>
  <c r="I16" i="7" s="1"/>
  <c r="E16" i="3"/>
  <c r="G16" i="3" s="1"/>
  <c r="C15" i="7" s="1"/>
  <c r="I15" i="7" s="1"/>
  <c r="E15" i="3"/>
  <c r="G15" i="3" s="1"/>
  <c r="C14" i="7" s="1"/>
  <c r="I14" i="7" s="1"/>
  <c r="E14" i="3"/>
  <c r="G14" i="3" s="1"/>
  <c r="C13" i="7" s="1"/>
  <c r="I13" i="7" s="1"/>
  <c r="E13" i="3"/>
  <c r="G13" i="3" s="1"/>
  <c r="C12" i="7" s="1"/>
  <c r="I12" i="7" s="1"/>
  <c r="E12" i="3"/>
  <c r="G12" i="3" s="1"/>
  <c r="C11" i="7" s="1"/>
  <c r="I11" i="7" s="1"/>
  <c r="E11" i="3"/>
  <c r="G11" i="3" s="1"/>
  <c r="C10" i="7" s="1"/>
  <c r="I10" i="7" s="1"/>
  <c r="D22" i="3"/>
  <c r="D21" i="3"/>
  <c r="D20" i="3"/>
  <c r="D19" i="3"/>
  <c r="D18" i="3"/>
  <c r="D17" i="3"/>
  <c r="D16" i="3"/>
  <c r="D15" i="3"/>
  <c r="D14" i="3"/>
  <c r="D13" i="3"/>
  <c r="D12" i="3"/>
  <c r="D11" i="3"/>
  <c r="D23" i="3"/>
  <c r="D37" i="3"/>
  <c r="D36" i="3"/>
  <c r="D35" i="3"/>
  <c r="D34" i="3"/>
  <c r="D33" i="3"/>
  <c r="D32" i="3"/>
  <c r="D31" i="3"/>
  <c r="D30" i="3"/>
  <c r="D29" i="3"/>
  <c r="D28" i="3"/>
  <c r="D27" i="3"/>
  <c r="D26" i="3"/>
  <c r="D25" i="3"/>
  <c r="D24" i="3"/>
  <c r="D38" i="3"/>
  <c r="D42" i="3"/>
  <c r="D41" i="3"/>
  <c r="D40" i="3"/>
  <c r="D39" i="3"/>
  <c r="D43" i="3"/>
  <c r="C22" i="3"/>
  <c r="C21" i="3"/>
  <c r="C20" i="3"/>
  <c r="C19" i="3"/>
  <c r="C18" i="3"/>
  <c r="C17" i="3"/>
  <c r="C16" i="3"/>
  <c r="C15" i="3"/>
  <c r="C14" i="3"/>
  <c r="C13" i="3"/>
  <c r="C12" i="3"/>
  <c r="C11" i="3"/>
  <c r="C23" i="3"/>
  <c r="C40" i="3"/>
  <c r="C39" i="3"/>
  <c r="C38" i="3"/>
  <c r="C37" i="3"/>
  <c r="C36" i="3"/>
  <c r="C35" i="3"/>
  <c r="C34" i="3"/>
  <c r="C33" i="3"/>
  <c r="C32" i="3"/>
  <c r="C31" i="3"/>
  <c r="C30" i="3"/>
  <c r="C29" i="3"/>
  <c r="C28" i="3"/>
  <c r="C27" i="3"/>
  <c r="C26" i="3"/>
  <c r="C25" i="3"/>
  <c r="C24" i="3"/>
  <c r="C41" i="3"/>
  <c r="C42" i="3"/>
  <c r="C43" i="3"/>
  <c r="H328" i="32"/>
  <c r="G328" i="32"/>
  <c r="F328" i="32"/>
  <c r="E328" i="32"/>
  <c r="D328" i="32"/>
  <c r="H327" i="32"/>
  <c r="G327" i="32"/>
  <c r="E75" i="16" s="1"/>
  <c r="E58" i="16" s="1"/>
  <c r="F327" i="32"/>
  <c r="E327" i="32"/>
  <c r="C75" i="16" s="1"/>
  <c r="C58" i="16" s="1"/>
  <c r="D327" i="32"/>
  <c r="H321" i="32"/>
  <c r="H320" i="32"/>
  <c r="H319" i="32"/>
  <c r="G322" i="32"/>
  <c r="G321" i="32"/>
  <c r="G320" i="32"/>
  <c r="F323" i="32"/>
  <c r="F322" i="32"/>
  <c r="F321" i="32"/>
  <c r="E324" i="32"/>
  <c r="E323" i="32"/>
  <c r="E322" i="32"/>
  <c r="D324" i="32"/>
  <c r="D323" i="32"/>
  <c r="D325" i="32"/>
  <c r="P308" i="32"/>
  <c r="P307" i="32"/>
  <c r="P306" i="32"/>
  <c r="O309" i="32"/>
  <c r="O308" i="32"/>
  <c r="O307" i="32"/>
  <c r="N310" i="32"/>
  <c r="N309" i="32"/>
  <c r="N308" i="32"/>
  <c r="M311" i="32"/>
  <c r="M310" i="32"/>
  <c r="M309" i="32"/>
  <c r="L311" i="32"/>
  <c r="L310" i="32"/>
  <c r="L312" i="32"/>
  <c r="K312" i="32"/>
  <c r="K311" i="32"/>
  <c r="K310" i="32"/>
  <c r="K309" i="32"/>
  <c r="K308" i="32"/>
  <c r="K307" i="32"/>
  <c r="K306" i="32"/>
  <c r="P304" i="32"/>
  <c r="O304" i="32"/>
  <c r="N304" i="32"/>
  <c r="M304" i="32"/>
  <c r="L304" i="32"/>
  <c r="H308" i="32"/>
  <c r="H307" i="32"/>
  <c r="H306" i="32"/>
  <c r="G309" i="32"/>
  <c r="G308" i="32"/>
  <c r="G307" i="32"/>
  <c r="F310" i="32"/>
  <c r="F309" i="32"/>
  <c r="F308" i="32"/>
  <c r="E311" i="32"/>
  <c r="E310" i="32"/>
  <c r="E309" i="32"/>
  <c r="D311" i="32"/>
  <c r="D310" i="32"/>
  <c r="D312" i="32"/>
  <c r="H276" i="32"/>
  <c r="G276" i="32"/>
  <c r="F276" i="32"/>
  <c r="E276" i="32"/>
  <c r="D276" i="32"/>
  <c r="H270" i="32"/>
  <c r="H269" i="32"/>
  <c r="H268" i="32"/>
  <c r="G271" i="32"/>
  <c r="G270" i="32"/>
  <c r="G269" i="32"/>
  <c r="F272" i="32"/>
  <c r="F271" i="32"/>
  <c r="F270" i="32"/>
  <c r="E273" i="32"/>
  <c r="E272" i="32"/>
  <c r="E271" i="32"/>
  <c r="D273" i="32"/>
  <c r="D274" i="32"/>
  <c r="D272" i="32"/>
  <c r="D132" i="32"/>
  <c r="D147" i="32" s="1"/>
  <c r="D260" i="32" s="1"/>
  <c r="D131" i="32"/>
  <c r="D146" i="32" s="1"/>
  <c r="D259" i="32" s="1"/>
  <c r="D130" i="32"/>
  <c r="D145" i="32" s="1"/>
  <c r="D258" i="32" s="1"/>
  <c r="E131" i="32"/>
  <c r="E146" i="32" s="1"/>
  <c r="E259" i="32" s="1"/>
  <c r="E130" i="32"/>
  <c r="E145" i="32" s="1"/>
  <c r="E258" i="32" s="1"/>
  <c r="E129" i="32"/>
  <c r="F130" i="32"/>
  <c r="F145" i="32" s="1"/>
  <c r="F258" i="32" s="1"/>
  <c r="F129" i="32"/>
  <c r="F144" i="32" s="1"/>
  <c r="F257" i="32" s="1"/>
  <c r="F128" i="32"/>
  <c r="F143" i="32" s="1"/>
  <c r="F256" i="32" s="1"/>
  <c r="G129" i="32"/>
  <c r="G128" i="32"/>
  <c r="G143" i="32" s="1"/>
  <c r="G256" i="32" s="1"/>
  <c r="G127" i="32"/>
  <c r="G142" i="32" s="1"/>
  <c r="H127" i="32"/>
  <c r="H142" i="32" s="1"/>
  <c r="H126" i="32"/>
  <c r="H141" i="32" s="1"/>
  <c r="H128" i="32"/>
  <c r="H143" i="32" s="1"/>
  <c r="H256" i="32" s="1"/>
  <c r="D261" i="32"/>
  <c r="E260" i="32"/>
  <c r="F259" i="32"/>
  <c r="G258" i="32"/>
  <c r="H257" i="32"/>
  <c r="G257" i="32"/>
  <c r="I256" i="32"/>
  <c r="D219" i="32"/>
  <c r="E218" i="32"/>
  <c r="D218" i="32"/>
  <c r="F217" i="32"/>
  <c r="E217" i="32"/>
  <c r="D217" i="32"/>
  <c r="G216" i="32"/>
  <c r="F216" i="32"/>
  <c r="E216" i="32"/>
  <c r="D216" i="32"/>
  <c r="H215" i="32"/>
  <c r="G215" i="32"/>
  <c r="F215" i="32"/>
  <c r="E215" i="32"/>
  <c r="I214" i="32"/>
  <c r="H214" i="32"/>
  <c r="G214" i="32"/>
  <c r="F214" i="32"/>
  <c r="I213" i="32"/>
  <c r="H213" i="32"/>
  <c r="G213" i="32"/>
  <c r="I212" i="32"/>
  <c r="H212" i="32"/>
  <c r="I211" i="32"/>
  <c r="R87" i="32"/>
  <c r="R86" i="32"/>
  <c r="R85" i="32"/>
  <c r="R84" i="32"/>
  <c r="Q88" i="32"/>
  <c r="Q87" i="32"/>
  <c r="Q86" i="32"/>
  <c r="Q85" i="32"/>
  <c r="P89" i="32"/>
  <c r="P88" i="32"/>
  <c r="P87" i="32"/>
  <c r="P86" i="32"/>
  <c r="G199" i="32" s="1"/>
  <c r="O90" i="32"/>
  <c r="O89" i="32"/>
  <c r="O88" i="32"/>
  <c r="O87" i="32"/>
  <c r="F200" i="32" s="1"/>
  <c r="N91" i="32"/>
  <c r="N90" i="32"/>
  <c r="N89" i="32"/>
  <c r="N88" i="32"/>
  <c r="E201" i="32" s="1"/>
  <c r="M91" i="32"/>
  <c r="M90" i="32"/>
  <c r="M89" i="32"/>
  <c r="D202" i="32" s="1"/>
  <c r="M92" i="32"/>
  <c r="L92" i="32"/>
  <c r="L91" i="32"/>
  <c r="E203" i="32"/>
  <c r="D203" i="32"/>
  <c r="L90" i="32"/>
  <c r="L89" i="32"/>
  <c r="G201" i="32"/>
  <c r="L88" i="32"/>
  <c r="L87" i="32"/>
  <c r="I199" i="32"/>
  <c r="H199" i="32"/>
  <c r="L86" i="32"/>
  <c r="L85" i="32"/>
  <c r="I197" i="32"/>
  <c r="L84" i="32"/>
  <c r="R82" i="32"/>
  <c r="Q82" i="32"/>
  <c r="P82" i="32"/>
  <c r="O82" i="32"/>
  <c r="N82" i="32"/>
  <c r="M82" i="32"/>
  <c r="D204" i="32"/>
  <c r="F202" i="32"/>
  <c r="E202" i="32"/>
  <c r="F201" i="32"/>
  <c r="H200" i="32"/>
  <c r="G200" i="32"/>
  <c r="I198" i="32"/>
  <c r="H198" i="32"/>
  <c r="D148" i="32"/>
  <c r="E147" i="32"/>
  <c r="F146" i="32"/>
  <c r="G145" i="32"/>
  <c r="H144" i="32"/>
  <c r="G144" i="32"/>
  <c r="E144" i="32"/>
  <c r="E257" i="32" s="1"/>
  <c r="I143" i="32"/>
  <c r="I142" i="32"/>
  <c r="I141" i="32"/>
  <c r="I140" i="32"/>
  <c r="D133" i="32"/>
  <c r="E132" i="32"/>
  <c r="F131" i="32"/>
  <c r="G130" i="32"/>
  <c r="H129" i="32"/>
  <c r="I128" i="32"/>
  <c r="D92" i="32"/>
  <c r="E91" i="32"/>
  <c r="D91" i="32"/>
  <c r="F90" i="32"/>
  <c r="E90" i="32"/>
  <c r="D90" i="32"/>
  <c r="G89" i="32"/>
  <c r="F89" i="32"/>
  <c r="E89" i="32"/>
  <c r="D89" i="32"/>
  <c r="H88" i="32"/>
  <c r="G88" i="32"/>
  <c r="F88" i="32"/>
  <c r="E88" i="32"/>
  <c r="I87" i="32"/>
  <c r="H87" i="32"/>
  <c r="G87" i="32"/>
  <c r="F87" i="32"/>
  <c r="D77" i="32"/>
  <c r="D76" i="32"/>
  <c r="D75" i="32"/>
  <c r="D74" i="32"/>
  <c r="E76" i="32"/>
  <c r="E75" i="32"/>
  <c r="E74" i="32"/>
  <c r="E73" i="32"/>
  <c r="F73" i="32"/>
  <c r="F74" i="32"/>
  <c r="F75" i="32"/>
  <c r="G73" i="32"/>
  <c r="G74" i="32"/>
  <c r="H73" i="32"/>
  <c r="G72" i="32"/>
  <c r="H72" i="32"/>
  <c r="I72" i="32"/>
  <c r="F72" i="32"/>
  <c r="H40" i="32"/>
  <c r="G40" i="32"/>
  <c r="F40" i="32"/>
  <c r="E40" i="32"/>
  <c r="D40" i="32"/>
  <c r="D40" i="31"/>
  <c r="E40" i="31"/>
  <c r="F40" i="31"/>
  <c r="E75" i="31" s="1"/>
  <c r="G40" i="31"/>
  <c r="H40" i="31"/>
  <c r="H35" i="32"/>
  <c r="G35" i="32"/>
  <c r="H34" i="32"/>
  <c r="G34" i="32"/>
  <c r="F34" i="32"/>
  <c r="F35" i="32" s="1"/>
  <c r="E34" i="32"/>
  <c r="E35" i="32" s="1"/>
  <c r="D34" i="32"/>
  <c r="D35" i="32" s="1"/>
  <c r="D32" i="32"/>
  <c r="E31" i="32"/>
  <c r="D31" i="32"/>
  <c r="F30" i="32"/>
  <c r="E30" i="32"/>
  <c r="D30" i="32"/>
  <c r="G29" i="32"/>
  <c r="F29" i="32"/>
  <c r="E29" i="32"/>
  <c r="H28" i="32"/>
  <c r="G28" i="32"/>
  <c r="F28" i="32"/>
  <c r="H27" i="32"/>
  <c r="G27" i="32"/>
  <c r="H26" i="32"/>
  <c r="N23" i="17"/>
  <c r="M23" i="17" s="1"/>
  <c r="L23" i="17" s="1"/>
  <c r="K23" i="17" s="1"/>
  <c r="J23" i="17" s="1"/>
  <c r="I23" i="17" s="1"/>
  <c r="H23" i="17" s="1"/>
  <c r="G23" i="17" s="1"/>
  <c r="F23" i="17" s="1"/>
  <c r="E23" i="17" s="1"/>
  <c r="D23" i="17" s="1"/>
  <c r="C23" i="17" s="1"/>
  <c r="B23" i="17" s="1"/>
  <c r="U61" i="16" s="1"/>
  <c r="T61" i="16" s="1"/>
  <c r="S61" i="16" s="1"/>
  <c r="R61" i="16" s="1"/>
  <c r="Q61" i="16" s="1"/>
  <c r="P61" i="16" s="1"/>
  <c r="O61" i="16" s="1"/>
  <c r="N61" i="16" s="1"/>
  <c r="M61" i="16" s="1"/>
  <c r="L61" i="16" s="1"/>
  <c r="K61" i="16" s="1"/>
  <c r="J61" i="16" s="1"/>
  <c r="I61" i="16" s="1"/>
  <c r="H61" i="16" s="1"/>
  <c r="G61" i="16" s="1"/>
  <c r="N22" i="17"/>
  <c r="M22" i="17"/>
  <c r="L22" i="17"/>
  <c r="K22" i="17"/>
  <c r="J22" i="17"/>
  <c r="I22" i="17"/>
  <c r="H22" i="17"/>
  <c r="G22" i="17"/>
  <c r="F22" i="17"/>
  <c r="E22" i="17"/>
  <c r="D22" i="17"/>
  <c r="C22" i="17"/>
  <c r="B22" i="17"/>
  <c r="O23" i="17"/>
  <c r="V58" i="16"/>
  <c r="T58" i="16"/>
  <c r="S58" i="16"/>
  <c r="R58" i="16"/>
  <c r="Q58" i="16"/>
  <c r="P58" i="16"/>
  <c r="O58" i="16"/>
  <c r="N58" i="16"/>
  <c r="M58" i="16"/>
  <c r="L58" i="16"/>
  <c r="K58" i="16"/>
  <c r="J58" i="16"/>
  <c r="I58" i="16"/>
  <c r="H58" i="16"/>
  <c r="G58" i="16"/>
  <c r="B86" i="16"/>
  <c r="B85" i="16"/>
  <c r="B84" i="16"/>
  <c r="B83" i="16"/>
  <c r="B82" i="16"/>
  <c r="B81" i="16"/>
  <c r="A81" i="16"/>
  <c r="D75" i="16"/>
  <c r="D58" i="16" s="1"/>
  <c r="F75" i="16"/>
  <c r="F58" i="16" s="1"/>
  <c r="B75" i="16"/>
  <c r="B58" i="16" s="1"/>
  <c r="C86" i="16"/>
  <c r="C85" i="16"/>
  <c r="C84" i="16"/>
  <c r="C83" i="16"/>
  <c r="C82" i="16"/>
  <c r="A82" i="16"/>
  <c r="A83" i="16" s="1"/>
  <c r="A84" i="16" s="1"/>
  <c r="A85" i="16" s="1"/>
  <c r="A86" i="16" s="1"/>
  <c r="C81" i="16"/>
  <c r="V36" i="16"/>
  <c r="V37" i="16"/>
  <c r="V35" i="16"/>
  <c r="H308" i="31"/>
  <c r="G308" i="31"/>
  <c r="H307" i="31"/>
  <c r="O296" i="31"/>
  <c r="O295" i="31"/>
  <c r="O294" i="31"/>
  <c r="N297" i="31"/>
  <c r="N296" i="31"/>
  <c r="N295" i="31"/>
  <c r="M298" i="31"/>
  <c r="M297" i="31"/>
  <c r="M296" i="31"/>
  <c r="L299" i="31"/>
  <c r="L298" i="31"/>
  <c r="L297" i="31"/>
  <c r="K299" i="31"/>
  <c r="K298" i="31"/>
  <c r="K300" i="31"/>
  <c r="J300" i="31"/>
  <c r="J299" i="31"/>
  <c r="J298" i="31"/>
  <c r="J297" i="31"/>
  <c r="J296" i="31"/>
  <c r="J295" i="31"/>
  <c r="J294" i="31"/>
  <c r="O292" i="31"/>
  <c r="N292" i="31"/>
  <c r="M292" i="31"/>
  <c r="L292" i="31"/>
  <c r="K292" i="31"/>
  <c r="H295" i="31"/>
  <c r="G295" i="31"/>
  <c r="H294" i="31"/>
  <c r="H255" i="31"/>
  <c r="G255" i="31"/>
  <c r="H254" i="31"/>
  <c r="I240" i="31"/>
  <c r="H240" i="31"/>
  <c r="G240" i="31"/>
  <c r="I239" i="31"/>
  <c r="H239" i="31"/>
  <c r="I238" i="31"/>
  <c r="D219" i="31"/>
  <c r="E218" i="31"/>
  <c r="F217" i="31"/>
  <c r="G216" i="31"/>
  <c r="H215" i="31"/>
  <c r="I214" i="31"/>
  <c r="I213" i="31"/>
  <c r="H213" i="31"/>
  <c r="G213" i="31"/>
  <c r="I212" i="31"/>
  <c r="H212" i="31"/>
  <c r="I211" i="31"/>
  <c r="I199" i="31"/>
  <c r="H199" i="31"/>
  <c r="G199" i="31"/>
  <c r="I198" i="31"/>
  <c r="H198" i="31"/>
  <c r="I197" i="31"/>
  <c r="I142" i="31"/>
  <c r="H142" i="31"/>
  <c r="G142" i="31"/>
  <c r="I141" i="31"/>
  <c r="H141" i="31"/>
  <c r="I140" i="31"/>
  <c r="I128" i="31"/>
  <c r="D133" i="31"/>
  <c r="E132" i="31"/>
  <c r="F131" i="31"/>
  <c r="G130" i="31"/>
  <c r="H129" i="31"/>
  <c r="H127" i="31"/>
  <c r="G127" i="31"/>
  <c r="H126" i="31"/>
  <c r="L92" i="31"/>
  <c r="L91" i="31"/>
  <c r="L90" i="31"/>
  <c r="L89" i="31"/>
  <c r="L88" i="31"/>
  <c r="L87" i="31"/>
  <c r="R86" i="31"/>
  <c r="Q86" i="31"/>
  <c r="P86" i="31"/>
  <c r="L86" i="31"/>
  <c r="R85" i="31"/>
  <c r="Q85" i="31"/>
  <c r="L85" i="31"/>
  <c r="R84" i="31"/>
  <c r="L84" i="31"/>
  <c r="R82" i="31"/>
  <c r="Q82" i="31"/>
  <c r="P82" i="31"/>
  <c r="O82" i="31"/>
  <c r="N82" i="31"/>
  <c r="M82" i="31"/>
  <c r="D77" i="31"/>
  <c r="D89" i="31" s="1"/>
  <c r="E76" i="31"/>
  <c r="E89" i="31" s="1"/>
  <c r="D76" i="31"/>
  <c r="F75" i="31"/>
  <c r="F87" i="31" s="1"/>
  <c r="D75" i="31"/>
  <c r="G74" i="31"/>
  <c r="G89" i="31" s="1"/>
  <c r="F74" i="31"/>
  <c r="E74" i="31"/>
  <c r="D74" i="31"/>
  <c r="H73" i="31"/>
  <c r="H87" i="31" s="1"/>
  <c r="Q87" i="31" s="1"/>
  <c r="H200" i="31" s="1"/>
  <c r="H214" i="31" s="1"/>
  <c r="G73" i="31"/>
  <c r="F73" i="31"/>
  <c r="E73" i="31"/>
  <c r="I72" i="31"/>
  <c r="I87" i="31" s="1"/>
  <c r="H72" i="31"/>
  <c r="G72" i="31"/>
  <c r="F72" i="31"/>
  <c r="H35" i="31"/>
  <c r="H36" i="31" s="1"/>
  <c r="G35" i="31"/>
  <c r="F35" i="31"/>
  <c r="D33" i="31"/>
  <c r="D35" i="31" s="1"/>
  <c r="E32" i="31"/>
  <c r="E35" i="31" s="1"/>
  <c r="D32" i="31"/>
  <c r="F31" i="31"/>
  <c r="E31" i="31"/>
  <c r="D31" i="31"/>
  <c r="G30" i="31"/>
  <c r="F30" i="31"/>
  <c r="E30" i="31"/>
  <c r="H29" i="31"/>
  <c r="G29" i="31"/>
  <c r="F29" i="31"/>
  <c r="H28" i="31"/>
  <c r="G28" i="31"/>
  <c r="H27" i="31"/>
  <c r="O26" i="14"/>
  <c r="N25" i="14"/>
  <c r="M25" i="14"/>
  <c r="L25" i="14"/>
  <c r="K25" i="14"/>
  <c r="J25" i="14"/>
  <c r="I25" i="14"/>
  <c r="H25" i="14"/>
  <c r="G25" i="14"/>
  <c r="F25" i="14"/>
  <c r="E25" i="14"/>
  <c r="D25" i="14"/>
  <c r="C25" i="14"/>
  <c r="B25" i="14"/>
  <c r="V32" i="13"/>
  <c r="U32" i="13"/>
  <c r="T32" i="13"/>
  <c r="S32" i="13"/>
  <c r="R32" i="13"/>
  <c r="Q32" i="13"/>
  <c r="P32" i="13"/>
  <c r="O32" i="13"/>
  <c r="N32" i="13"/>
  <c r="M32" i="13"/>
  <c r="L32" i="13"/>
  <c r="K32" i="13"/>
  <c r="J32" i="13"/>
  <c r="I32" i="13"/>
  <c r="H32" i="13"/>
  <c r="G32" i="13"/>
  <c r="P48" i="15"/>
  <c r="O48" i="15"/>
  <c r="N48" i="15" s="1"/>
  <c r="M48" i="15" s="1"/>
  <c r="L48" i="15" s="1"/>
  <c r="K48" i="15" s="1"/>
  <c r="J48" i="15" s="1"/>
  <c r="I48" i="15" s="1"/>
  <c r="H48" i="15" s="1"/>
  <c r="G48" i="15" s="1"/>
  <c r="F48" i="15" s="1"/>
  <c r="E48" i="15" s="1"/>
  <c r="D48" i="15" s="1"/>
  <c r="C48" i="15" s="1"/>
  <c r="B48" i="15" s="1"/>
  <c r="Q55" i="12" s="1"/>
  <c r="P55" i="12" s="1"/>
  <c r="O55" i="12" s="1"/>
  <c r="N55" i="12" s="1"/>
  <c r="M55" i="12" s="1"/>
  <c r="L55" i="12" s="1"/>
  <c r="K55" i="12" s="1"/>
  <c r="J55" i="12" s="1"/>
  <c r="I55" i="12" s="1"/>
  <c r="H55" i="12" s="1"/>
  <c r="G55" i="12" s="1"/>
  <c r="F55" i="12" s="1"/>
  <c r="E55" i="12" s="1"/>
  <c r="D55" i="12" s="1"/>
  <c r="C55" i="12" s="1"/>
  <c r="B55" i="12" s="1"/>
  <c r="Q48" i="15"/>
  <c r="R48" i="15"/>
  <c r="T48" i="15"/>
  <c r="R47" i="15"/>
  <c r="Q47" i="15"/>
  <c r="P47" i="15"/>
  <c r="O47" i="15"/>
  <c r="N47" i="15"/>
  <c r="M47" i="15"/>
  <c r="L47" i="15"/>
  <c r="K47" i="15"/>
  <c r="J47" i="15"/>
  <c r="I47" i="15"/>
  <c r="H47" i="15"/>
  <c r="G47" i="15"/>
  <c r="F47" i="15"/>
  <c r="E47" i="15"/>
  <c r="D47" i="15"/>
  <c r="C47" i="15"/>
  <c r="B47" i="15"/>
  <c r="S47" i="15"/>
  <c r="S28" i="15"/>
  <c r="S29" i="15"/>
  <c r="S30" i="15"/>
  <c r="S31" i="15"/>
  <c r="S32" i="15"/>
  <c r="S27" i="15"/>
  <c r="C73" i="12"/>
  <c r="C72" i="12"/>
  <c r="C71" i="12"/>
  <c r="C70" i="12"/>
  <c r="C69" i="12"/>
  <c r="C74" i="12"/>
  <c r="A70" i="12"/>
  <c r="A71" i="12" s="1"/>
  <c r="A72" i="12" s="1"/>
  <c r="A73" i="12" s="1"/>
  <c r="A74" i="12" s="1"/>
  <c r="Q52" i="12"/>
  <c r="P52" i="12"/>
  <c r="O52" i="12"/>
  <c r="N52" i="12"/>
  <c r="M52" i="12"/>
  <c r="L52" i="12"/>
  <c r="K52" i="12"/>
  <c r="J52" i="12"/>
  <c r="I52" i="12"/>
  <c r="H52" i="12"/>
  <c r="G52" i="12"/>
  <c r="F52" i="12"/>
  <c r="E52" i="12"/>
  <c r="D52" i="12"/>
  <c r="C52" i="12"/>
  <c r="B52" i="12"/>
  <c r="P27" i="21"/>
  <c r="O27" i="21" s="1"/>
  <c r="N27" i="21" s="1"/>
  <c r="M27" i="21" s="1"/>
  <c r="L27" i="21" s="1"/>
  <c r="K27" i="21" s="1"/>
  <c r="J27" i="21" s="1"/>
  <c r="I27" i="21" s="1"/>
  <c r="H27" i="21" s="1"/>
  <c r="G27" i="21" s="1"/>
  <c r="F27" i="21" s="1"/>
  <c r="E27" i="21" s="1"/>
  <c r="D27" i="21" s="1"/>
  <c r="C27" i="21" s="1"/>
  <c r="B27" i="21" s="1"/>
  <c r="Q32" i="11" s="1"/>
  <c r="P32" i="11" s="1"/>
  <c r="O32" i="11" s="1"/>
  <c r="N32" i="11" s="1"/>
  <c r="M32" i="11" s="1"/>
  <c r="L32" i="11" s="1"/>
  <c r="K32" i="11" s="1"/>
  <c r="J32" i="11" s="1"/>
  <c r="I32" i="11" s="1"/>
  <c r="H32" i="11" s="1"/>
  <c r="G32" i="11" s="1"/>
  <c r="F32" i="11" s="1"/>
  <c r="E32" i="11" s="1"/>
  <c r="D32" i="11" s="1"/>
  <c r="C32" i="11" s="1"/>
  <c r="B32" i="11" s="1"/>
  <c r="Q27" i="21"/>
  <c r="R27" i="21"/>
  <c r="R26" i="21"/>
  <c r="Q26" i="21"/>
  <c r="P26" i="21"/>
  <c r="O26" i="21"/>
  <c r="N26" i="21"/>
  <c r="M26" i="21"/>
  <c r="L26" i="21"/>
  <c r="K26" i="21"/>
  <c r="J26" i="21"/>
  <c r="I26" i="21"/>
  <c r="H26" i="21"/>
  <c r="G26" i="21"/>
  <c r="F26" i="21"/>
  <c r="E26" i="21"/>
  <c r="D26" i="21"/>
  <c r="C26" i="21"/>
  <c r="B26" i="21"/>
  <c r="S26" i="21"/>
  <c r="T27" i="21"/>
  <c r="Q31" i="11"/>
  <c r="P31" i="11"/>
  <c r="O31" i="11"/>
  <c r="N31" i="11"/>
  <c r="M31" i="11"/>
  <c r="L31" i="11"/>
  <c r="K31" i="11"/>
  <c r="J31" i="11"/>
  <c r="I31" i="11"/>
  <c r="H31" i="11"/>
  <c r="G31" i="11"/>
  <c r="F31" i="11"/>
  <c r="E31" i="11"/>
  <c r="D31" i="11"/>
  <c r="C31" i="11"/>
  <c r="B31" i="11"/>
  <c r="M32" i="20"/>
  <c r="X5" i="20"/>
  <c r="X6" i="20"/>
  <c r="X7" i="20"/>
  <c r="X8" i="20"/>
  <c r="X9" i="20"/>
  <c r="X10" i="20"/>
  <c r="X11" i="20"/>
  <c r="X4" i="20"/>
  <c r="Z4" i="20" s="1"/>
  <c r="X17" i="20"/>
  <c r="X20" i="20"/>
  <c r="C31" i="20"/>
  <c r="D31" i="20"/>
  <c r="E31" i="20"/>
  <c r="F31" i="20"/>
  <c r="G31" i="20"/>
  <c r="H31" i="20"/>
  <c r="I31" i="20"/>
  <c r="J31" i="20"/>
  <c r="K31" i="20"/>
  <c r="L31" i="20"/>
  <c r="M31" i="20"/>
  <c r="B31" i="20"/>
  <c r="X23" i="20"/>
  <c r="L32" i="20"/>
  <c r="X22" i="20" s="1"/>
  <c r="K32" i="20"/>
  <c r="X21" i="20" s="1"/>
  <c r="J32" i="20"/>
  <c r="I32" i="20"/>
  <c r="X19" i="20" s="1"/>
  <c r="H32" i="20"/>
  <c r="X18" i="20" s="1"/>
  <c r="G32" i="20"/>
  <c r="F32" i="20"/>
  <c r="X16" i="20" s="1"/>
  <c r="E32" i="20"/>
  <c r="X15" i="20" s="1"/>
  <c r="D32" i="20"/>
  <c r="X14" i="20" s="1"/>
  <c r="C32" i="20"/>
  <c r="X13" i="20" s="1"/>
  <c r="B32" i="20"/>
  <c r="X12" i="20" s="1"/>
  <c r="W6" i="20"/>
  <c r="W7" i="20" s="1"/>
  <c r="W5" i="20"/>
  <c r="Y5" i="20" s="1"/>
  <c r="V5" i="20"/>
  <c r="V6" i="20" s="1"/>
  <c r="Y4" i="20"/>
  <c r="R26" i="20"/>
  <c r="Q26" i="20"/>
  <c r="P26" i="20"/>
  <c r="O26" i="20"/>
  <c r="N26" i="20"/>
  <c r="M26" i="20"/>
  <c r="L26" i="20"/>
  <c r="K26" i="20"/>
  <c r="J26" i="20"/>
  <c r="I26" i="20"/>
  <c r="H26" i="20"/>
  <c r="G26" i="20"/>
  <c r="F26" i="20"/>
  <c r="E26" i="20"/>
  <c r="D26" i="20"/>
  <c r="C26" i="20"/>
  <c r="B26" i="20"/>
  <c r="Q37" i="10"/>
  <c r="P37" i="10"/>
  <c r="O37" i="10"/>
  <c r="N37" i="10"/>
  <c r="M37" i="10"/>
  <c r="L37" i="10"/>
  <c r="K37" i="10"/>
  <c r="J37" i="10"/>
  <c r="Q38" i="10"/>
  <c r="P38" i="10"/>
  <c r="O38" i="10"/>
  <c r="N38" i="10"/>
  <c r="M38" i="10"/>
  <c r="L38" i="10"/>
  <c r="K38" i="10"/>
  <c r="J38" i="10"/>
  <c r="Q31" i="10"/>
  <c r="P31" i="10"/>
  <c r="O31" i="10"/>
  <c r="N31" i="10"/>
  <c r="M31" i="10"/>
  <c r="L31" i="10"/>
  <c r="K31" i="10"/>
  <c r="J31" i="10"/>
  <c r="I31" i="10"/>
  <c r="H31" i="10"/>
  <c r="G31" i="10"/>
  <c r="F31" i="10"/>
  <c r="E31" i="10"/>
  <c r="D31" i="10"/>
  <c r="C31" i="10"/>
  <c r="B31" i="10"/>
  <c r="Q26" i="19"/>
  <c r="P26" i="19"/>
  <c r="O26" i="19"/>
  <c r="J32" i="2"/>
  <c r="X11" i="19"/>
  <c r="X10" i="19"/>
  <c r="X9" i="19"/>
  <c r="X8" i="19"/>
  <c r="X7" i="19"/>
  <c r="X6" i="19"/>
  <c r="X5" i="19"/>
  <c r="X4" i="19"/>
  <c r="Z4" i="19" s="1"/>
  <c r="W6" i="19"/>
  <c r="W7" i="19" s="1"/>
  <c r="W5" i="19"/>
  <c r="Y5" i="19" s="1"/>
  <c r="V5" i="19"/>
  <c r="V6" i="19" s="1"/>
  <c r="Y4" i="19"/>
  <c r="M33" i="19"/>
  <c r="C32" i="19"/>
  <c r="D32" i="19"/>
  <c r="E32" i="19"/>
  <c r="F32" i="19"/>
  <c r="G32" i="19"/>
  <c r="H32" i="19"/>
  <c r="I32" i="19"/>
  <c r="J32" i="19"/>
  <c r="K32" i="19"/>
  <c r="L32" i="19"/>
  <c r="M32" i="19"/>
  <c r="B32" i="19"/>
  <c r="L33" i="19"/>
  <c r="K33" i="19"/>
  <c r="J33" i="19"/>
  <c r="I33" i="19"/>
  <c r="H33" i="19"/>
  <c r="G33" i="19"/>
  <c r="F33" i="19"/>
  <c r="E33" i="19"/>
  <c r="D33" i="19"/>
  <c r="C33" i="19"/>
  <c r="B33" i="19"/>
  <c r="Q38" i="2"/>
  <c r="P38" i="2"/>
  <c r="O38" i="2"/>
  <c r="N38" i="2"/>
  <c r="M38" i="2"/>
  <c r="L38" i="2"/>
  <c r="K38" i="2"/>
  <c r="J38" i="2"/>
  <c r="Q37" i="2"/>
  <c r="P37" i="2"/>
  <c r="O37" i="2"/>
  <c r="N37" i="2"/>
  <c r="M37" i="2"/>
  <c r="L37" i="2"/>
  <c r="K37" i="2"/>
  <c r="J37" i="2"/>
  <c r="R26" i="19"/>
  <c r="N26" i="19"/>
  <c r="M26" i="19"/>
  <c r="L26" i="19"/>
  <c r="K26" i="19"/>
  <c r="J26" i="19"/>
  <c r="I26" i="19"/>
  <c r="H26" i="19"/>
  <c r="G26" i="19"/>
  <c r="F26" i="19"/>
  <c r="E26" i="19"/>
  <c r="D26" i="19"/>
  <c r="C26" i="19"/>
  <c r="B26" i="19"/>
  <c r="Q32" i="2"/>
  <c r="P32" i="2"/>
  <c r="O32" i="2"/>
  <c r="N32" i="2"/>
  <c r="M32" i="2"/>
  <c r="L32" i="2"/>
  <c r="K32" i="2"/>
  <c r="I32" i="2"/>
  <c r="H32" i="2"/>
  <c r="G32" i="2"/>
  <c r="F32" i="2"/>
  <c r="E32" i="2"/>
  <c r="D32" i="2"/>
  <c r="C32" i="2"/>
  <c r="B32" i="2"/>
  <c r="E36" i="1"/>
  <c r="E37" i="1"/>
  <c r="E38" i="1"/>
  <c r="E39" i="1"/>
  <c r="E40" i="1"/>
  <c r="E41" i="1"/>
  <c r="E35" i="1"/>
  <c r="E34" i="1"/>
  <c r="M34" i="1"/>
  <c r="H20" i="18" l="1"/>
  <c r="C17" i="29"/>
  <c r="I17" i="29" s="1"/>
  <c r="H28" i="18"/>
  <c r="C25" i="29"/>
  <c r="I25" i="29" s="1"/>
  <c r="H36" i="18"/>
  <c r="C33" i="29"/>
  <c r="I33" i="29" s="1"/>
  <c r="H13" i="18"/>
  <c r="C10" i="29"/>
  <c r="I10" i="29" s="1"/>
  <c r="H14" i="18"/>
  <c r="C11" i="29"/>
  <c r="I11" i="29" s="1"/>
  <c r="H22" i="18"/>
  <c r="C19" i="29"/>
  <c r="I19" i="29" s="1"/>
  <c r="H30" i="18"/>
  <c r="C27" i="29"/>
  <c r="I27" i="29" s="1"/>
  <c r="H38" i="18"/>
  <c r="C35" i="29"/>
  <c r="I35" i="29" s="1"/>
  <c r="H40" i="18"/>
  <c r="C37" i="29"/>
  <c r="I37" i="29" s="1"/>
  <c r="H15" i="18"/>
  <c r="C12" i="29"/>
  <c r="I12" i="29" s="1"/>
  <c r="H23" i="18"/>
  <c r="C20" i="29"/>
  <c r="I20" i="29" s="1"/>
  <c r="H31" i="18"/>
  <c r="C28" i="29"/>
  <c r="I28" i="29" s="1"/>
  <c r="H39" i="18"/>
  <c r="C36" i="29"/>
  <c r="I36" i="29" s="1"/>
  <c r="H29" i="18"/>
  <c r="C26" i="29"/>
  <c r="I26" i="29" s="1"/>
  <c r="H16" i="18"/>
  <c r="C13" i="29"/>
  <c r="I13" i="29" s="1"/>
  <c r="H24" i="18"/>
  <c r="C21" i="29"/>
  <c r="I21" i="29" s="1"/>
  <c r="H32" i="18"/>
  <c r="C29" i="29"/>
  <c r="I29" i="29" s="1"/>
  <c r="H44" i="18"/>
  <c r="C41" i="29"/>
  <c r="I41" i="29" s="1"/>
  <c r="H21" i="18"/>
  <c r="C18" i="29"/>
  <c r="I18" i="29" s="1"/>
  <c r="H17" i="18"/>
  <c r="C14" i="29"/>
  <c r="I14" i="29" s="1"/>
  <c r="H25" i="18"/>
  <c r="C22" i="29"/>
  <c r="I22" i="29" s="1"/>
  <c r="H33" i="18"/>
  <c r="C30" i="29"/>
  <c r="I30" i="29" s="1"/>
  <c r="H43" i="18"/>
  <c r="C40" i="29"/>
  <c r="I40" i="29" s="1"/>
  <c r="H37" i="18"/>
  <c r="C34" i="29"/>
  <c r="I34" i="29" s="1"/>
  <c r="H18" i="18"/>
  <c r="C15" i="29"/>
  <c r="I15" i="29" s="1"/>
  <c r="H26" i="18"/>
  <c r="C23" i="29"/>
  <c r="I23" i="29" s="1"/>
  <c r="H34" i="18"/>
  <c r="C31" i="29"/>
  <c r="I31" i="29" s="1"/>
  <c r="H42" i="18"/>
  <c r="C39" i="29"/>
  <c r="I39" i="29" s="1"/>
  <c r="H19" i="18"/>
  <c r="C16" i="29"/>
  <c r="I16" i="29" s="1"/>
  <c r="H27" i="18"/>
  <c r="C24" i="29"/>
  <c r="I24" i="29" s="1"/>
  <c r="H35" i="18"/>
  <c r="C32" i="29"/>
  <c r="I32" i="29" s="1"/>
  <c r="H41" i="18"/>
  <c r="C38" i="29"/>
  <c r="I38" i="29" s="1"/>
  <c r="H45" i="18"/>
  <c r="C42" i="29"/>
  <c r="I42" i="29" s="1"/>
  <c r="I45" i="7"/>
  <c r="I46" i="7" s="1"/>
  <c r="I47" i="7" s="1"/>
  <c r="K9" i="8" s="1"/>
  <c r="H16" i="28"/>
  <c r="L17" i="27"/>
  <c r="D17" i="28"/>
  <c r="F15" i="28"/>
  <c r="S15" i="28"/>
  <c r="U15" i="28" s="1"/>
  <c r="V15" i="28" s="1"/>
  <c r="L22" i="27"/>
  <c r="D19" i="28"/>
  <c r="S16" i="28"/>
  <c r="U16" i="28" s="1"/>
  <c r="V17" i="28" s="1"/>
  <c r="L24" i="27"/>
  <c r="F18" i="28"/>
  <c r="L25" i="27"/>
  <c r="L26" i="27"/>
  <c r="D14" i="28"/>
  <c r="L14" i="27"/>
  <c r="F14" i="28"/>
  <c r="H14" i="28" s="1"/>
  <c r="V16" i="28"/>
  <c r="V18" i="28"/>
  <c r="V19" i="28"/>
  <c r="J18" i="28" s="1"/>
  <c r="L12" i="27"/>
  <c r="L20" i="27"/>
  <c r="L28" i="27"/>
  <c r="G45" i="24"/>
  <c r="L25" i="4"/>
  <c r="L24" i="4" s="1"/>
  <c r="L23" i="4" s="1"/>
  <c r="L22" i="4" s="1"/>
  <c r="L21" i="4" s="1"/>
  <c r="L20" i="4" s="1"/>
  <c r="L19" i="4" s="1"/>
  <c r="L18" i="4" s="1"/>
  <c r="L17" i="4" s="1"/>
  <c r="L16" i="4" s="1"/>
  <c r="L15" i="4" s="1"/>
  <c r="L14" i="4" s="1"/>
  <c r="L13" i="4" s="1"/>
  <c r="L12" i="4" s="1"/>
  <c r="L11" i="4" s="1"/>
  <c r="L10" i="4" s="1"/>
  <c r="L28" i="4"/>
  <c r="L27" i="4"/>
  <c r="G87" i="31"/>
  <c r="G128" i="31" s="1"/>
  <c r="G143" i="31" s="1"/>
  <c r="F88" i="31"/>
  <c r="O88" i="31" s="1"/>
  <c r="F201" i="31" s="1"/>
  <c r="F215" i="31" s="1"/>
  <c r="G88" i="31"/>
  <c r="F89" i="31"/>
  <c r="O89" i="31" s="1"/>
  <c r="F202" i="31" s="1"/>
  <c r="F216" i="31" s="1"/>
  <c r="F90" i="31"/>
  <c r="D92" i="31"/>
  <c r="M92" i="31" s="1"/>
  <c r="H88" i="31"/>
  <c r="Q88" i="31" s="1"/>
  <c r="F128" i="31"/>
  <c r="F143" i="31" s="1"/>
  <c r="O87" i="31"/>
  <c r="F200" i="31" s="1"/>
  <c r="F214" i="31" s="1"/>
  <c r="H144" i="31"/>
  <c r="H242" i="31" s="1"/>
  <c r="N89" i="31"/>
  <c r="E202" i="31" s="1"/>
  <c r="E216" i="31" s="1"/>
  <c r="E130" i="31"/>
  <c r="E145" i="31" s="1"/>
  <c r="D130" i="31"/>
  <c r="D145" i="31" s="1"/>
  <c r="M89" i="31"/>
  <c r="D202" i="31" s="1"/>
  <c r="D216" i="31" s="1"/>
  <c r="I143" i="31"/>
  <c r="I241" i="31" s="1"/>
  <c r="R87" i="31"/>
  <c r="G145" i="31"/>
  <c r="G243" i="31" s="1"/>
  <c r="P89" i="31"/>
  <c r="E88" i="31"/>
  <c r="D90" i="31"/>
  <c r="F130" i="31"/>
  <c r="F145" i="31" s="1"/>
  <c r="F243" i="31" s="1"/>
  <c r="E90" i="31"/>
  <c r="D91" i="31"/>
  <c r="H128" i="31"/>
  <c r="H143" i="31" s="1"/>
  <c r="H241" i="31" s="1"/>
  <c r="E91" i="31"/>
  <c r="G64" i="16"/>
  <c r="F61" i="16"/>
  <c r="G36" i="31"/>
  <c r="F36" i="31" s="1"/>
  <c r="E36" i="31" s="1"/>
  <c r="D36" i="31" s="1"/>
  <c r="N26" i="14"/>
  <c r="M26" i="14" s="1"/>
  <c r="L26" i="14" s="1"/>
  <c r="K26" i="14" s="1"/>
  <c r="J26" i="14" s="1"/>
  <c r="I26" i="14" s="1"/>
  <c r="H26" i="14" s="1"/>
  <c r="G26" i="14" s="1"/>
  <c r="F26" i="14" s="1"/>
  <c r="E26" i="14" s="1"/>
  <c r="D26" i="14" s="1"/>
  <c r="C26" i="14" s="1"/>
  <c r="B26" i="14" s="1"/>
  <c r="U33" i="13" s="1"/>
  <c r="T33" i="13" s="1"/>
  <c r="S33" i="13" s="1"/>
  <c r="R33" i="13" s="1"/>
  <c r="Q33" i="13" s="1"/>
  <c r="P33" i="13" s="1"/>
  <c r="O33" i="13" s="1"/>
  <c r="N33" i="13" s="1"/>
  <c r="M33" i="13" s="1"/>
  <c r="L33" i="13" s="1"/>
  <c r="K33" i="13" s="1"/>
  <c r="J33" i="13" s="1"/>
  <c r="I33" i="13" s="1"/>
  <c r="H33" i="13" s="1"/>
  <c r="G33" i="13" s="1"/>
  <c r="B58" i="12"/>
  <c r="G58" i="12"/>
  <c r="C58" i="12"/>
  <c r="D58" i="12"/>
  <c r="E58" i="12"/>
  <c r="F58" i="12"/>
  <c r="V7" i="20"/>
  <c r="Z6" i="20"/>
  <c r="Y7" i="20"/>
  <c r="W8" i="20"/>
  <c r="Y6" i="20"/>
  <c r="Z5" i="20"/>
  <c r="V7" i="19"/>
  <c r="Z6" i="19"/>
  <c r="Y7" i="19"/>
  <c r="W8" i="19"/>
  <c r="Y6" i="19"/>
  <c r="Z5" i="19"/>
  <c r="I45" i="29" l="1"/>
  <c r="I46" i="29" s="1"/>
  <c r="I47" i="29" s="1"/>
  <c r="M9" i="8" s="1"/>
  <c r="O9" i="8" s="1"/>
  <c r="O14" i="8" s="1"/>
  <c r="O18" i="8" s="1"/>
  <c r="O22" i="8" s="1"/>
  <c r="H15" i="28"/>
  <c r="H19" i="28"/>
  <c r="H18" i="28"/>
  <c r="J17" i="28"/>
  <c r="J16" i="28" s="1"/>
  <c r="J15" i="28" s="1"/>
  <c r="J14" i="28" s="1"/>
  <c r="J13" i="28" s="1"/>
  <c r="D148" i="31"/>
  <c r="D246" i="31" s="1"/>
  <c r="G256" i="31"/>
  <c r="P87" i="31"/>
  <c r="G200" i="31" s="1"/>
  <c r="G214" i="31" s="1"/>
  <c r="G241" i="31" s="1"/>
  <c r="F129" i="31"/>
  <c r="F144" i="31" s="1"/>
  <c r="F242" i="31" s="1"/>
  <c r="D243" i="31"/>
  <c r="F146" i="31"/>
  <c r="F244" i="31" s="1"/>
  <c r="O90" i="31"/>
  <c r="G129" i="31"/>
  <c r="G144" i="31" s="1"/>
  <c r="P88" i="31"/>
  <c r="G201" i="31" s="1"/>
  <c r="G215" i="31" s="1"/>
  <c r="G296" i="31"/>
  <c r="G309" i="31" s="1"/>
  <c r="E129" i="31"/>
  <c r="E144" i="31" s="1"/>
  <c r="N88" i="31"/>
  <c r="E201" i="31" s="1"/>
  <c r="E215" i="31" s="1"/>
  <c r="M91" i="31"/>
  <c r="D204" i="31" s="1"/>
  <c r="D218" i="31" s="1"/>
  <c r="D132" i="31"/>
  <c r="D147" i="31" s="1"/>
  <c r="E243" i="31"/>
  <c r="E258" i="31" s="1"/>
  <c r="H256" i="31"/>
  <c r="F258" i="31"/>
  <c r="D131" i="31"/>
  <c r="D146" i="31" s="1"/>
  <c r="M90" i="31"/>
  <c r="D203" i="31" s="1"/>
  <c r="D217" i="31" s="1"/>
  <c r="E147" i="31"/>
  <c r="E245" i="31" s="1"/>
  <c r="N91" i="31"/>
  <c r="F241" i="31"/>
  <c r="F256" i="31" s="1"/>
  <c r="E131" i="31"/>
  <c r="E146" i="31" s="1"/>
  <c r="N90" i="31"/>
  <c r="E203" i="31" s="1"/>
  <c r="E217" i="31" s="1"/>
  <c r="E61" i="16"/>
  <c r="F64" i="16"/>
  <c r="W9" i="20"/>
  <c r="Y8" i="20"/>
  <c r="Z7" i="20"/>
  <c r="V8" i="20"/>
  <c r="W9" i="19"/>
  <c r="Y8" i="19"/>
  <c r="Z7" i="19"/>
  <c r="V8" i="19"/>
  <c r="G242" i="31" l="1"/>
  <c r="G257" i="31" s="1"/>
  <c r="F257" i="31"/>
  <c r="F297" i="31" s="1"/>
  <c r="F310" i="31" s="1"/>
  <c r="D258" i="31"/>
  <c r="F296" i="31"/>
  <c r="F309" i="31" s="1"/>
  <c r="G297" i="31"/>
  <c r="G310" i="31" s="1"/>
  <c r="G315" i="31" s="1"/>
  <c r="E40" i="13" s="1"/>
  <c r="E32" i="13" s="1"/>
  <c r="G262" i="31"/>
  <c r="D245" i="31"/>
  <c r="D260" i="31" s="1"/>
  <c r="E244" i="31"/>
  <c r="D244" i="31"/>
  <c r="F262" i="31"/>
  <c r="F298" i="31"/>
  <c r="F311" i="31" s="1"/>
  <c r="F315" i="31" s="1"/>
  <c r="D40" i="13" s="1"/>
  <c r="D32" i="13" s="1"/>
  <c r="E298" i="31"/>
  <c r="E311" i="31" s="1"/>
  <c r="E242" i="31"/>
  <c r="E257" i="31" s="1"/>
  <c r="E297" i="31" s="1"/>
  <c r="E310" i="31" s="1"/>
  <c r="H262" i="31"/>
  <c r="H296" i="31"/>
  <c r="H309" i="31" s="1"/>
  <c r="H263" i="31"/>
  <c r="G263" i="31"/>
  <c r="D298" i="31"/>
  <c r="D311" i="31" s="1"/>
  <c r="G316" i="31"/>
  <c r="D61" i="16"/>
  <c r="E64" i="16"/>
  <c r="W10" i="20"/>
  <c r="Y9" i="20"/>
  <c r="V9" i="20"/>
  <c r="Z8" i="20"/>
  <c r="Y9" i="19"/>
  <c r="W10" i="19"/>
  <c r="V9" i="19"/>
  <c r="Z8" i="19"/>
  <c r="F316" i="31" l="1"/>
  <c r="F263" i="31"/>
  <c r="D300" i="31"/>
  <c r="D313" i="31" s="1"/>
  <c r="D315" i="31" s="1"/>
  <c r="B40" i="13" s="1"/>
  <c r="B32" i="13" s="1"/>
  <c r="D262" i="31"/>
  <c r="H315" i="31"/>
  <c r="F40" i="13" s="1"/>
  <c r="H316" i="31"/>
  <c r="D259" i="31"/>
  <c r="E259" i="31"/>
  <c r="C61" i="16"/>
  <c r="D64" i="16"/>
  <c r="Z9" i="20"/>
  <c r="V10" i="20"/>
  <c r="Y10" i="20"/>
  <c r="W11" i="20"/>
  <c r="Y10" i="19"/>
  <c r="W11" i="19"/>
  <c r="Z9" i="19"/>
  <c r="V10" i="19"/>
  <c r="D299" i="31" l="1"/>
  <c r="D312" i="31" s="1"/>
  <c r="D316" i="31" s="1"/>
  <c r="D263" i="31"/>
  <c r="E262" i="31"/>
  <c r="E299" i="31"/>
  <c r="E312" i="31" s="1"/>
  <c r="F32" i="13"/>
  <c r="F33" i="13"/>
  <c r="E33" i="13" s="1"/>
  <c r="D33" i="13" s="1"/>
  <c r="E263" i="31"/>
  <c r="B61" i="16"/>
  <c r="B64" i="16" s="1"/>
  <c r="C64" i="16"/>
  <c r="W12" i="20"/>
  <c r="Y11" i="20"/>
  <c r="V11" i="20"/>
  <c r="Z10" i="20"/>
  <c r="V11" i="19"/>
  <c r="Z10" i="19"/>
  <c r="W12" i="19"/>
  <c r="Y11" i="19"/>
  <c r="E315" i="31" l="1"/>
  <c r="C40" i="13" s="1"/>
  <c r="C32" i="13" s="1"/>
  <c r="E316" i="31"/>
  <c r="V12" i="20"/>
  <c r="Z11" i="20"/>
  <c r="Y12" i="20"/>
  <c r="W13" i="20"/>
  <c r="V12" i="19"/>
  <c r="Z11" i="19"/>
  <c r="Y12" i="19"/>
  <c r="W13" i="19"/>
  <c r="C33" i="13" l="1"/>
  <c r="B33" i="13" s="1"/>
  <c r="W14" i="20"/>
  <c r="Y13" i="20"/>
  <c r="Z12" i="20"/>
  <c r="V13" i="20"/>
  <c r="W14" i="19"/>
  <c r="Y13" i="19"/>
  <c r="X12" i="19"/>
  <c r="Z12" i="19" s="1"/>
  <c r="V13" i="19"/>
  <c r="V14" i="20" l="1"/>
  <c r="Z13" i="20"/>
  <c r="W15" i="20"/>
  <c r="Y14" i="20"/>
  <c r="V14" i="19"/>
  <c r="X13" i="19"/>
  <c r="Z13" i="19" s="1"/>
  <c r="W15" i="19"/>
  <c r="Y14" i="19"/>
  <c r="Y15" i="20" l="1"/>
  <c r="W16" i="20"/>
  <c r="V15" i="20"/>
  <c r="Z14" i="20"/>
  <c r="Y15" i="19"/>
  <c r="W16" i="19"/>
  <c r="V15" i="19"/>
  <c r="X14" i="19"/>
  <c r="Z14" i="19" s="1"/>
  <c r="Z15" i="20" l="1"/>
  <c r="V16" i="20"/>
  <c r="W17" i="20"/>
  <c r="Y16" i="20"/>
  <c r="X15" i="19"/>
  <c r="Z15" i="19" s="1"/>
  <c r="V16" i="19"/>
  <c r="W17" i="19"/>
  <c r="Y16" i="19"/>
  <c r="W18" i="20" l="1"/>
  <c r="Y17" i="20"/>
  <c r="V17" i="20"/>
  <c r="Z16" i="20"/>
  <c r="W18" i="19"/>
  <c r="Y17" i="19"/>
  <c r="V17" i="19"/>
  <c r="X16" i="19"/>
  <c r="Z16" i="19" s="1"/>
  <c r="Z17" i="20" l="1"/>
  <c r="V18" i="20"/>
  <c r="Y18" i="20"/>
  <c r="W19" i="20"/>
  <c r="X17" i="19"/>
  <c r="Z17" i="19" s="1"/>
  <c r="V18" i="19"/>
  <c r="Y18" i="19"/>
  <c r="W19" i="19"/>
  <c r="W20" i="20" l="1"/>
  <c r="Y19" i="20"/>
  <c r="V19" i="20"/>
  <c r="Z18" i="20"/>
  <c r="W20" i="19"/>
  <c r="Y19" i="19"/>
  <c r="V19" i="19"/>
  <c r="X18" i="19"/>
  <c r="Z18" i="19" s="1"/>
  <c r="Y20" i="20" l="1"/>
  <c r="W21" i="20"/>
  <c r="V20" i="20"/>
  <c r="Z19" i="20"/>
  <c r="V20" i="19"/>
  <c r="X19" i="19"/>
  <c r="Z19" i="19" s="1"/>
  <c r="Y20" i="19"/>
  <c r="W21" i="19"/>
  <c r="Z20" i="20" l="1"/>
  <c r="V21" i="20"/>
  <c r="W22" i="20"/>
  <c r="Y21" i="20"/>
  <c r="W22" i="19"/>
  <c r="Y21" i="19"/>
  <c r="X20" i="19"/>
  <c r="Z20" i="19" s="1"/>
  <c r="V21" i="19"/>
  <c r="Y22" i="20" l="1"/>
  <c r="W23" i="20"/>
  <c r="V22" i="20"/>
  <c r="Z21" i="20"/>
  <c r="V22" i="19"/>
  <c r="X21" i="19"/>
  <c r="Z21" i="19" s="1"/>
  <c r="W23" i="19"/>
  <c r="Y22" i="19"/>
  <c r="V23" i="20" l="1"/>
  <c r="Z22" i="20"/>
  <c r="Y23" i="20"/>
  <c r="W24" i="20"/>
  <c r="Y23" i="19"/>
  <c r="W24" i="19"/>
  <c r="V23" i="19"/>
  <c r="X22" i="19"/>
  <c r="Z22" i="19" s="1"/>
  <c r="Z23" i="20" l="1"/>
  <c r="Z74" i="20" s="1"/>
  <c r="V24" i="20"/>
  <c r="V25" i="20" s="1"/>
  <c r="V26" i="20" s="1"/>
  <c r="V27" i="20" s="1"/>
  <c r="V28" i="20" s="1"/>
  <c r="V29" i="20" s="1"/>
  <c r="V30" i="20" s="1"/>
  <c r="V31" i="20" s="1"/>
  <c r="V32" i="20" s="1"/>
  <c r="V33" i="20" s="1"/>
  <c r="V34" i="20" s="1"/>
  <c r="V35" i="20" s="1"/>
  <c r="V36" i="20" s="1"/>
  <c r="V37" i="20" s="1"/>
  <c r="V38" i="20" s="1"/>
  <c r="V39" i="20" s="1"/>
  <c r="V40" i="20" s="1"/>
  <c r="V41" i="20" s="1"/>
  <c r="V42" i="20" s="1"/>
  <c r="V43" i="20" s="1"/>
  <c r="V44" i="20" s="1"/>
  <c r="V45" i="20" s="1"/>
  <c r="V46" i="20" s="1"/>
  <c r="V47" i="20" s="1"/>
  <c r="V48" i="20" s="1"/>
  <c r="V49" i="20" s="1"/>
  <c r="V50" i="20" s="1"/>
  <c r="V51" i="20" s="1"/>
  <c r="V52" i="20" s="1"/>
  <c r="V53" i="20" s="1"/>
  <c r="V54" i="20" s="1"/>
  <c r="V55" i="20" s="1"/>
  <c r="V56" i="20" s="1"/>
  <c r="V57" i="20" s="1"/>
  <c r="V58" i="20" s="1"/>
  <c r="V59" i="20" s="1"/>
  <c r="V60" i="20" s="1"/>
  <c r="V61" i="20" s="1"/>
  <c r="V62" i="20" s="1"/>
  <c r="V63" i="20" s="1"/>
  <c r="V64" i="20" s="1"/>
  <c r="V65" i="20" s="1"/>
  <c r="V66" i="20" s="1"/>
  <c r="V67" i="20" s="1"/>
  <c r="V68" i="20" s="1"/>
  <c r="V69" i="20" s="1"/>
  <c r="V70" i="20" s="1"/>
  <c r="V71" i="20" s="1"/>
  <c r="V72" i="20" s="1"/>
  <c r="V73" i="20" s="1"/>
  <c r="V74" i="20" s="1"/>
  <c r="W25" i="20"/>
  <c r="Y24" i="20"/>
  <c r="Z39" i="20"/>
  <c r="Z73" i="20"/>
  <c r="Z50" i="20"/>
  <c r="Z65" i="20"/>
  <c r="Z58" i="20"/>
  <c r="Z47" i="20"/>
  <c r="Z56" i="20"/>
  <c r="Z34" i="20"/>
  <c r="Z41" i="20"/>
  <c r="Z48" i="20"/>
  <c r="Z36" i="20"/>
  <c r="Z55" i="20"/>
  <c r="Z66" i="20"/>
  <c r="Z53" i="20"/>
  <c r="Z45" i="20"/>
  <c r="Z61" i="20"/>
  <c r="Z57" i="20"/>
  <c r="Z62" i="20"/>
  <c r="X23" i="19"/>
  <c r="Z23" i="19" s="1"/>
  <c r="V24" i="19"/>
  <c r="V25" i="19" s="1"/>
  <c r="V26" i="19" s="1"/>
  <c r="V27" i="19" s="1"/>
  <c r="V28" i="19" s="1"/>
  <c r="V29" i="19" s="1"/>
  <c r="V30" i="19" s="1"/>
  <c r="V31" i="19" s="1"/>
  <c r="V32" i="19" s="1"/>
  <c r="V33" i="19" s="1"/>
  <c r="V34" i="19" s="1"/>
  <c r="V35" i="19" s="1"/>
  <c r="V36" i="19" s="1"/>
  <c r="V37" i="19" s="1"/>
  <c r="V38" i="19" s="1"/>
  <c r="V39" i="19" s="1"/>
  <c r="V40" i="19" s="1"/>
  <c r="V41" i="19" s="1"/>
  <c r="V42" i="19" s="1"/>
  <c r="V43" i="19" s="1"/>
  <c r="V44" i="19" s="1"/>
  <c r="V45" i="19" s="1"/>
  <c r="V46" i="19" s="1"/>
  <c r="V47" i="19" s="1"/>
  <c r="V48" i="19" s="1"/>
  <c r="V49" i="19" s="1"/>
  <c r="V50" i="19" s="1"/>
  <c r="V51" i="19" s="1"/>
  <c r="V52" i="19" s="1"/>
  <c r="V53" i="19" s="1"/>
  <c r="V54" i="19" s="1"/>
  <c r="V55" i="19" s="1"/>
  <c r="V56" i="19" s="1"/>
  <c r="V57" i="19" s="1"/>
  <c r="V58" i="19" s="1"/>
  <c r="V59" i="19" s="1"/>
  <c r="V60" i="19" s="1"/>
  <c r="V61" i="19" s="1"/>
  <c r="V62" i="19" s="1"/>
  <c r="V63" i="19" s="1"/>
  <c r="V64" i="19" s="1"/>
  <c r="V65" i="19" s="1"/>
  <c r="V66" i="19" s="1"/>
  <c r="V67" i="19" s="1"/>
  <c r="V68" i="19" s="1"/>
  <c r="V69" i="19" s="1"/>
  <c r="V70" i="19" s="1"/>
  <c r="V71" i="19" s="1"/>
  <c r="V72" i="19" s="1"/>
  <c r="V73" i="19" s="1"/>
  <c r="V74" i="19" s="1"/>
  <c r="W25" i="19"/>
  <c r="Y24" i="19"/>
  <c r="Z46" i="20" l="1"/>
  <c r="Z52" i="20"/>
  <c r="Z30" i="20"/>
  <c r="Z40" i="20"/>
  <c r="Z38" i="20"/>
  <c r="Z31" i="20"/>
  <c r="Z29" i="20"/>
  <c r="Z68" i="20"/>
  <c r="Z72" i="20"/>
  <c r="Z69" i="20"/>
  <c r="Z33" i="20"/>
  <c r="Z59" i="20"/>
  <c r="Z70" i="20"/>
  <c r="Z71" i="20"/>
  <c r="Z42" i="20"/>
  <c r="Z64" i="20"/>
  <c r="Z60" i="20"/>
  <c r="Z35" i="20"/>
  <c r="Z67" i="20"/>
  <c r="Z37" i="20"/>
  <c r="Z32" i="20"/>
  <c r="Z44" i="20"/>
  <c r="Z51" i="20"/>
  <c r="Z63" i="20"/>
  <c r="Z54" i="20"/>
  <c r="Z49" i="20"/>
  <c r="Z43" i="20"/>
  <c r="W26" i="20"/>
  <c r="Y25" i="20"/>
  <c r="W26" i="19"/>
  <c r="Y25" i="19"/>
  <c r="S27" i="20" l="1"/>
  <c r="R27" i="20" s="1"/>
  <c r="Q27" i="20" s="1"/>
  <c r="P27" i="20" s="1"/>
  <c r="O27" i="20" s="1"/>
  <c r="N27" i="20" s="1"/>
  <c r="M27" i="20" s="1"/>
  <c r="L27" i="20" s="1"/>
  <c r="K27" i="20" s="1"/>
  <c r="J27" i="20" s="1"/>
  <c r="I27" i="20" s="1"/>
  <c r="H27" i="20" s="1"/>
  <c r="G27" i="20" s="1"/>
  <c r="F27" i="20" s="1"/>
  <c r="E27" i="20" s="1"/>
  <c r="D27" i="20" s="1"/>
  <c r="C27" i="20" s="1"/>
  <c r="B27" i="20" s="1"/>
  <c r="Q32" i="10" s="1"/>
  <c r="P32" i="10" s="1"/>
  <c r="O32" i="10" s="1"/>
  <c r="N32" i="10" s="1"/>
  <c r="M32" i="10" s="1"/>
  <c r="L32" i="10" s="1"/>
  <c r="K32" i="10" s="1"/>
  <c r="J32" i="10" s="1"/>
  <c r="I32" i="10" s="1"/>
  <c r="H32" i="10" s="1"/>
  <c r="G32" i="10" s="1"/>
  <c r="F32" i="10" s="1"/>
  <c r="E32" i="10" s="1"/>
  <c r="D32" i="10" s="1"/>
  <c r="C32" i="10" s="1"/>
  <c r="B32" i="10" s="1"/>
  <c r="W27" i="20"/>
  <c r="Y26" i="20"/>
  <c r="W27" i="19"/>
  <c r="Y26" i="19"/>
  <c r="W28" i="20" l="1"/>
  <c r="Y27" i="20"/>
  <c r="W28" i="19"/>
  <c r="Y27" i="19"/>
  <c r="Y28" i="20" l="1"/>
  <c r="W29" i="20"/>
  <c r="Y28" i="19"/>
  <c r="W29" i="19"/>
  <c r="W30" i="20" l="1"/>
  <c r="Y29" i="20"/>
  <c r="W30" i="19"/>
  <c r="Y29" i="19"/>
  <c r="Z29" i="19" s="1"/>
  <c r="Y30" i="20" l="1"/>
  <c r="W31" i="20"/>
  <c r="Y30" i="19"/>
  <c r="Z30" i="19" s="1"/>
  <c r="W31" i="19"/>
  <c r="W32" i="20" l="1"/>
  <c r="Y31" i="20"/>
  <c r="W32" i="19"/>
  <c r="Y31" i="19"/>
  <c r="Z31" i="19" s="1"/>
  <c r="Y32" i="20" l="1"/>
  <c r="W33" i="20"/>
  <c r="Y32" i="19"/>
  <c r="Z32" i="19" s="1"/>
  <c r="W33" i="19"/>
  <c r="W34" i="20" l="1"/>
  <c r="Y33" i="20"/>
  <c r="W34" i="19"/>
  <c r="Y33" i="19"/>
  <c r="Z33" i="19" s="1"/>
  <c r="Y34" i="20" l="1"/>
  <c r="W35" i="20"/>
  <c r="Y34" i="19"/>
  <c r="Z34" i="19" s="1"/>
  <c r="W35" i="19"/>
  <c r="W36" i="20" l="1"/>
  <c r="Y35" i="20"/>
  <c r="W36" i="19"/>
  <c r="Y35" i="19"/>
  <c r="Z35" i="19" s="1"/>
  <c r="Y36" i="20" l="1"/>
  <c r="W37" i="20"/>
  <c r="Y36" i="19"/>
  <c r="Z36" i="19" s="1"/>
  <c r="W37" i="19"/>
  <c r="W38" i="20" l="1"/>
  <c r="Y37" i="20"/>
  <c r="W38" i="19"/>
  <c r="Y37" i="19"/>
  <c r="Z37" i="19" s="1"/>
  <c r="Y38" i="20" l="1"/>
  <c r="W39" i="20"/>
  <c r="Y38" i="19"/>
  <c r="Z38" i="19" s="1"/>
  <c r="W39" i="19"/>
  <c r="W40" i="20" l="1"/>
  <c r="Y39" i="20"/>
  <c r="W40" i="19"/>
  <c r="Y39" i="19"/>
  <c r="Z39" i="19" s="1"/>
  <c r="Y40" i="20" l="1"/>
  <c r="W41" i="20"/>
  <c r="Y40" i="19"/>
  <c r="Z40" i="19" s="1"/>
  <c r="W41" i="19"/>
  <c r="W42" i="20" l="1"/>
  <c r="Y41" i="20"/>
  <c r="W42" i="19"/>
  <c r="Y41" i="19"/>
  <c r="Z41" i="19" s="1"/>
  <c r="Y42" i="20" l="1"/>
  <c r="W43" i="20"/>
  <c r="Y42" i="19"/>
  <c r="Z42" i="19" s="1"/>
  <c r="W43" i="19"/>
  <c r="W44" i="20" l="1"/>
  <c r="Y43" i="20"/>
  <c r="W44" i="19"/>
  <c r="Y43" i="19"/>
  <c r="Z43" i="19" s="1"/>
  <c r="Y44" i="20" l="1"/>
  <c r="W45" i="20"/>
  <c r="Y44" i="19"/>
  <c r="Z44" i="19" s="1"/>
  <c r="W45" i="19"/>
  <c r="W46" i="20" l="1"/>
  <c r="Y45" i="20"/>
  <c r="W46" i="19"/>
  <c r="Y45" i="19"/>
  <c r="Z45" i="19" s="1"/>
  <c r="Y46" i="20" l="1"/>
  <c r="W47" i="20"/>
  <c r="Y46" i="19"/>
  <c r="Z46" i="19" s="1"/>
  <c r="W47" i="19"/>
  <c r="W48" i="20" l="1"/>
  <c r="Y47" i="20"/>
  <c r="W48" i="19"/>
  <c r="Y47" i="19"/>
  <c r="Z47" i="19" s="1"/>
  <c r="Y48" i="20" l="1"/>
  <c r="W49" i="20"/>
  <c r="Y48" i="19"/>
  <c r="Z48" i="19" s="1"/>
  <c r="W49" i="19"/>
  <c r="W50" i="20" l="1"/>
  <c r="Y49" i="20"/>
  <c r="W50" i="19"/>
  <c r="Y49" i="19"/>
  <c r="Z49" i="19" s="1"/>
  <c r="Y50" i="20" l="1"/>
  <c r="W51" i="20"/>
  <c r="Y50" i="19"/>
  <c r="Z50" i="19" s="1"/>
  <c r="W51" i="19"/>
  <c r="W52" i="20" l="1"/>
  <c r="Y51" i="20"/>
  <c r="W52" i="19"/>
  <c r="Y51" i="19"/>
  <c r="Z51" i="19" s="1"/>
  <c r="Y52" i="20" l="1"/>
  <c r="W53" i="20"/>
  <c r="Y52" i="19"/>
  <c r="Z52" i="19" s="1"/>
  <c r="W53" i="19"/>
  <c r="W54" i="20" l="1"/>
  <c r="Y53" i="20"/>
  <c r="W54" i="19"/>
  <c r="Y53" i="19"/>
  <c r="Z53" i="19" s="1"/>
  <c r="Y54" i="20" l="1"/>
  <c r="W55" i="20"/>
  <c r="Y54" i="19"/>
  <c r="Z54" i="19" s="1"/>
  <c r="W55" i="19"/>
  <c r="W56" i="20" l="1"/>
  <c r="Y55" i="20"/>
  <c r="W56" i="19"/>
  <c r="Y55" i="19"/>
  <c r="Z55" i="19" s="1"/>
  <c r="Y56" i="20" l="1"/>
  <c r="W57" i="20"/>
  <c r="Y56" i="19"/>
  <c r="Z56" i="19" s="1"/>
  <c r="W57" i="19"/>
  <c r="W58" i="20" l="1"/>
  <c r="Y57" i="20"/>
  <c r="W58" i="19"/>
  <c r="Y57" i="19"/>
  <c r="Z57" i="19" s="1"/>
  <c r="Y58" i="20" l="1"/>
  <c r="W59" i="20"/>
  <c r="Y58" i="19"/>
  <c r="Z58" i="19" s="1"/>
  <c r="W59" i="19"/>
  <c r="W60" i="20" l="1"/>
  <c r="Y59" i="20"/>
  <c r="W60" i="19"/>
  <c r="Y59" i="19"/>
  <c r="Z59" i="19" s="1"/>
  <c r="Y60" i="20" l="1"/>
  <c r="W61" i="20"/>
  <c r="Y60" i="19"/>
  <c r="Z60" i="19" s="1"/>
  <c r="W61" i="19"/>
  <c r="W62" i="20" l="1"/>
  <c r="Y61" i="20"/>
  <c r="W62" i="19"/>
  <c r="Y61" i="19"/>
  <c r="Z61" i="19" s="1"/>
  <c r="Y62" i="20" l="1"/>
  <c r="W63" i="20"/>
  <c r="Y62" i="19"/>
  <c r="Z62" i="19" s="1"/>
  <c r="W63" i="19"/>
  <c r="W64" i="20" l="1"/>
  <c r="Y63" i="20"/>
  <c r="W64" i="19"/>
  <c r="Y63" i="19"/>
  <c r="Z63" i="19" s="1"/>
  <c r="Y64" i="20" l="1"/>
  <c r="W65" i="20"/>
  <c r="Y64" i="19"/>
  <c r="Z64" i="19" s="1"/>
  <c r="W65" i="19"/>
  <c r="W66" i="20" l="1"/>
  <c r="Y65" i="20"/>
  <c r="W66" i="19"/>
  <c r="Y65" i="19"/>
  <c r="Z65" i="19" s="1"/>
  <c r="Y66" i="20" l="1"/>
  <c r="W67" i="20"/>
  <c r="Y66" i="19"/>
  <c r="Z66" i="19" s="1"/>
  <c r="W67" i="19"/>
  <c r="W68" i="20" l="1"/>
  <c r="Y67" i="20"/>
  <c r="W68" i="19"/>
  <c r="Y67" i="19"/>
  <c r="Z67" i="19" s="1"/>
  <c r="Y68" i="20" l="1"/>
  <c r="W69" i="20"/>
  <c r="Y68" i="19"/>
  <c r="Z68" i="19" s="1"/>
  <c r="W69" i="19"/>
  <c r="W70" i="20" l="1"/>
  <c r="Y69" i="20"/>
  <c r="W70" i="19"/>
  <c r="Y69" i="19"/>
  <c r="Z69" i="19" s="1"/>
  <c r="Y70" i="20" l="1"/>
  <c r="W71" i="20"/>
  <c r="Y70" i="19"/>
  <c r="Z70" i="19" s="1"/>
  <c r="W71" i="19"/>
  <c r="W72" i="20" l="1"/>
  <c r="Y71" i="20"/>
  <c r="W72" i="19"/>
  <c r="Y71" i="19"/>
  <c r="Z71" i="19" s="1"/>
  <c r="Y72" i="20" l="1"/>
  <c r="W73" i="20"/>
  <c r="Y72" i="19"/>
  <c r="Z72" i="19" s="1"/>
  <c r="W73" i="19"/>
  <c r="W74" i="20" l="1"/>
  <c r="Y74" i="20" s="1"/>
  <c r="Y73" i="20"/>
  <c r="W74" i="19"/>
  <c r="Y74" i="19" s="1"/>
  <c r="Z74" i="19" s="1"/>
  <c r="Y73" i="19"/>
  <c r="Z73" i="19" s="1"/>
  <c r="S27" i="19" l="1"/>
  <c r="R27" i="19" s="1"/>
  <c r="Q27" i="19" s="1"/>
  <c r="P27" i="19" s="1"/>
  <c r="O27" i="19" s="1"/>
  <c r="N27" i="19" s="1"/>
  <c r="M27" i="19" s="1"/>
  <c r="L27" i="19" s="1"/>
  <c r="K27" i="19" s="1"/>
  <c r="J27" i="19" s="1"/>
  <c r="I27" i="19" s="1"/>
  <c r="H27" i="19" s="1"/>
  <c r="G27" i="19" s="1"/>
  <c r="F27" i="19" s="1"/>
  <c r="E27" i="19" s="1"/>
  <c r="D27" i="19" s="1"/>
  <c r="C27" i="19" s="1"/>
  <c r="B27" i="19" s="1"/>
  <c r="Q33" i="2" s="1"/>
  <c r="P33" i="2" s="1"/>
  <c r="O33" i="2" s="1"/>
  <c r="N33" i="2" s="1"/>
  <c r="M33" i="2" s="1"/>
  <c r="L33" i="2" s="1"/>
  <c r="K33" i="2" s="1"/>
  <c r="J33" i="2" s="1"/>
  <c r="I33" i="2" s="1"/>
  <c r="H33" i="2" s="1"/>
  <c r="G33" i="2" s="1"/>
  <c r="F33" i="2" s="1"/>
  <c r="E33" i="2" s="1"/>
  <c r="D33" i="2" s="1"/>
  <c r="C33" i="2" s="1"/>
  <c r="B33" i="2" s="1"/>
</calcChain>
</file>

<file path=xl/sharedStrings.xml><?xml version="1.0" encoding="utf-8"?>
<sst xmlns="http://schemas.openxmlformats.org/spreadsheetml/2006/main" count="4287" uniqueCount="545">
  <si>
    <t>California Workers' Compensation</t>
  </si>
  <si>
    <t>Earned</t>
  </si>
  <si>
    <t xml:space="preserve">Paid </t>
  </si>
  <si>
    <t>Indemnity</t>
  </si>
  <si>
    <t xml:space="preserve">  Paid   </t>
  </si>
  <si>
    <t>Medical</t>
  </si>
  <si>
    <t xml:space="preserve">Total  </t>
  </si>
  <si>
    <t xml:space="preserve">Loss  </t>
  </si>
  <si>
    <t>Year</t>
  </si>
  <si>
    <t>Premium</t>
  </si>
  <si>
    <t>Reserves</t>
  </si>
  <si>
    <t>Ratio*</t>
  </si>
  <si>
    <t>*</t>
  </si>
  <si>
    <t>**</t>
  </si>
  <si>
    <t>Paid medical for accident years 2011 and subsequent exclude the paid cost of medical cost containment programs (MCCP).  Paid medical for accident years 2010 and prior include paid MCCP costs.</t>
  </si>
  <si>
    <t>IBNR*</t>
  </si>
  <si>
    <t>Incurred**</t>
  </si>
  <si>
    <t>Incurred Indemnity Loss Development Factors</t>
  </si>
  <si>
    <t>Age-to-Age (in months)</t>
  </si>
  <si>
    <t>Accident Year</t>
  </si>
  <si>
    <t>Selected (a)</t>
  </si>
  <si>
    <t>Cumulative</t>
  </si>
  <si>
    <t>(a)</t>
  </si>
  <si>
    <t>Incurred Indemnity Loss Development Factors (Continued)</t>
  </si>
  <si>
    <t xml:space="preserve">Cumulative </t>
  </si>
  <si>
    <t xml:space="preserve">(b)  </t>
  </si>
  <si>
    <t xml:space="preserve">(c)  </t>
  </si>
  <si>
    <t>Incurred Medical Loss Development Factors</t>
  </si>
  <si>
    <t>(b)</t>
  </si>
  <si>
    <t>Incurred Medical Loss Development Factors (Continued)</t>
  </si>
  <si>
    <t xml:space="preserve">(d)  </t>
  </si>
  <si>
    <t>Paid Indemnity Loss Development Factors</t>
  </si>
  <si>
    <t>Cumulative Adjusted for</t>
  </si>
  <si>
    <t>Impact of SB 863 (b)</t>
  </si>
  <si>
    <t>---</t>
  </si>
  <si>
    <t>Paid Indemnity Loss Development Factors (Continued)</t>
  </si>
  <si>
    <t/>
  </si>
  <si>
    <t>Paid Medical Loss Development Factors</t>
  </si>
  <si>
    <t>Selected (c)</t>
  </si>
  <si>
    <t xml:space="preserve">(a)  </t>
  </si>
  <si>
    <t>(c)</t>
  </si>
  <si>
    <t xml:space="preserve">(e)  </t>
  </si>
  <si>
    <t>Paid Medical Loss Development Factors (Continued)</t>
  </si>
  <si>
    <t>(e)</t>
  </si>
  <si>
    <t xml:space="preserve">(f)  </t>
  </si>
  <si>
    <t>Developed Indemnity Loss Ratios Using Selected Loss Development Factors</t>
  </si>
  <si>
    <t>Development Factors</t>
  </si>
  <si>
    <t>(1)</t>
  </si>
  <si>
    <t>(2)</t>
  </si>
  <si>
    <t>(3)</t>
  </si>
  <si>
    <t>(4)</t>
  </si>
  <si>
    <r>
      <t xml:space="preserve">Paid or Incurred Loss </t>
    </r>
    <r>
      <rPr>
        <u/>
        <sz val="10"/>
        <rFont val="Arial"/>
        <family val="2"/>
      </rPr>
      <t>Ratio(a)</t>
    </r>
  </si>
  <si>
    <t>Annual(b)</t>
  </si>
  <si>
    <r>
      <t xml:space="preserve">Adjusted 
for Impact of 
</t>
    </r>
    <r>
      <rPr>
        <u/>
        <sz val="10"/>
        <rFont val="Arial"/>
        <family val="2"/>
      </rPr>
      <t>SB 863(b)</t>
    </r>
  </si>
  <si>
    <t>Based on Exhibit 1. To reflect the selected loss development methodology, reported loss ratios displayed prior to 1999 are on an incurred basis. Subsequent reported loss ratios are on a paid basis.</t>
  </si>
  <si>
    <t>Developed Medical Loss Ratios Using Selected Loss Development Factors</t>
  </si>
  <si>
    <t>(5)</t>
  </si>
  <si>
    <t>(6)</t>
  </si>
  <si>
    <t>Adjusted</t>
  </si>
  <si>
    <t>Projected</t>
  </si>
  <si>
    <t>Accident</t>
  </si>
  <si>
    <t>Paid or Incurred</t>
  </si>
  <si>
    <t>Ultimate</t>
  </si>
  <si>
    <t>Loss Ratio(a)</t>
  </si>
  <si>
    <t>Loss Ratio</t>
  </si>
  <si>
    <t>Based on Exhibit 1. Paid MCCP costs are excluded from accident years 2011 and subsequent. To reflect the selected loss development methodology, reported loss ratios displayed prior to 1999 are on an incurred basis. Subsequent reported loss ratios are on a paid basis.</t>
  </si>
  <si>
    <t>(d)</t>
  </si>
  <si>
    <t>Unadjusted (a)</t>
  </si>
  <si>
    <t>Adjusted (b)</t>
  </si>
  <si>
    <t>Indemnity Benefit Level Factors</t>
  </si>
  <si>
    <t>Annual Benefit</t>
  </si>
  <si>
    <t xml:space="preserve">Annual Impact   </t>
  </si>
  <si>
    <t>Annual</t>
  </si>
  <si>
    <t>Composite</t>
  </si>
  <si>
    <t>Change Prior to</t>
  </si>
  <si>
    <t>on Indemnity Benefits</t>
  </si>
  <si>
    <t>Cost</t>
  </si>
  <si>
    <t>Frequency</t>
  </si>
  <si>
    <t>Due to Wage</t>
  </si>
  <si>
    <t>Impact on</t>
  </si>
  <si>
    <t xml:space="preserve">Adjustment  </t>
  </si>
  <si>
    <t>Adjustments (a)</t>
  </si>
  <si>
    <t>Inflation (b)</t>
  </si>
  <si>
    <t>Indemnity (c)</t>
  </si>
  <si>
    <t>Factor (d)</t>
  </si>
  <si>
    <t>(f)</t>
  </si>
  <si>
    <t>{ [Column (1) /100 + 1.0] x [Column (2) /100 + 1.0] x [Column (3) /100 + 1.0 ] - 1.0 } x 100.</t>
  </si>
  <si>
    <t>On-level factors for accident years 2002, 2003 and 2004 adjust the portion of permanent disability claims that are estimated to not be subject to the January 1, 2005 PDRS (95% for accident year 2002, 75% for accident year 2003 and 40% for accident year 2004) to the January 1, 2005 PDRS level, and adjust for the corresponding utilization impacts on all 2002, 2003 and 2004 indemnity claims.</t>
  </si>
  <si>
    <t>Annual Medical Cost Level Change - Non-Legislative</t>
  </si>
  <si>
    <t>Proportion of</t>
  </si>
  <si>
    <t>Impact of</t>
  </si>
  <si>
    <t>Factor to a</t>
  </si>
  <si>
    <t>Factor to Adjust</t>
  </si>
  <si>
    <t>Medical Not</t>
  </si>
  <si>
    <t>Fee Schedule</t>
  </si>
  <si>
    <t>Change in</t>
  </si>
  <si>
    <t>CPI Change</t>
  </si>
  <si>
    <t>Non-Legislative</t>
  </si>
  <si>
    <t>Subject to</t>
  </si>
  <si>
    <t>Change on</t>
  </si>
  <si>
    <t>on Total</t>
  </si>
  <si>
    <t>Cost Impact on</t>
  </si>
  <si>
    <t>Fee Schedule (a)</t>
  </si>
  <si>
    <t>Total Medical (b)</t>
  </si>
  <si>
    <t>CPI (c)</t>
  </si>
  <si>
    <t>Medical (d)</t>
  </si>
  <si>
    <t>Total Medical (e)</t>
  </si>
  <si>
    <t>(i)</t>
  </si>
  <si>
    <t>(ii)</t>
  </si>
  <si>
    <t>(iii)</t>
  </si>
  <si>
    <t>(iv),(v)</t>
  </si>
  <si>
    <t>(v)</t>
  </si>
  <si>
    <t>Based on a component of the Consumer Price Index. Projections furnished by the California Department of Finance.</t>
  </si>
  <si>
    <t>Adjusted CPI on workers' compensation medical costs that are not subject to fee schedules.  The current year impact is the weighted average of 0% and Column (4), with Columns (1) and (2) from prior years as weights.  (i) 1993's non-fee proportion is reduced by 13.8% due to the new medical-legal fee schedule enacted in 1994.  (ii) 1998's non-fee proportion is reduced by 7.7% due to the Inpatient Hospital Fee Schedule (IHFS) effective 4/1/1999.  (iii) 2002's non-fee proportion is reduced by 7.6% due to the new pharmaceutical fee schedule effective 1/1/2003.  (iv) 2003's non-fee proportion is reduced by 17.2% due to the outpatient fee schedule effective 1/1/2004.  (v) Given the anticipated impact of legislative reform, a 0% inflation rate has been assumed for 2004 and 2005.</t>
  </si>
  <si>
    <t>Column (6) = Column (3) + Column (5).</t>
  </si>
  <si>
    <t>Annual Medical Cost Level Change - Legislative</t>
  </si>
  <si>
    <t>Annual Legislative</t>
  </si>
  <si>
    <t>Annual Legislative Cost Impact</t>
  </si>
  <si>
    <t>Annual Total</t>
  </si>
  <si>
    <t xml:space="preserve">Cost Impact on </t>
  </si>
  <si>
    <t>on Medical Due to</t>
  </si>
  <si>
    <t>Legislative Cost</t>
  </si>
  <si>
    <t>Medical Severity(a)</t>
  </si>
  <si>
    <t>Frequency Changes(b)</t>
  </si>
  <si>
    <t>Impact on Medical(c)</t>
  </si>
  <si>
    <t>This reflects the annual percentage impact on medical costs due to changes in the frequency of indemnity claims as a result of benefit changes.</t>
  </si>
  <si>
    <t xml:space="preserve">[Column (1) + 1.0] x [Column (2) + 1.0] - 1.0 </t>
  </si>
  <si>
    <t>Total Medical Cost Level Factors</t>
  </si>
  <si>
    <t>Total</t>
  </si>
  <si>
    <t>Legislative</t>
  </si>
  <si>
    <t>Annual Cost</t>
  </si>
  <si>
    <t>On-level</t>
  </si>
  <si>
    <t>Medical (a)</t>
  </si>
  <si>
    <t>Medical(b)</t>
  </si>
  <si>
    <t>Medical(c)</t>
  </si>
  <si>
    <t>Factor(d)</t>
  </si>
  <si>
    <t>See Exhibit 4.2, Column (6).</t>
  </si>
  <si>
    <t>See Exhibit 4.3, Column (3).</t>
  </si>
  <si>
    <t>Column (3) = [1.0 + Column (1) ] x [1.0 + Column (2)] - 1.0.</t>
  </si>
  <si>
    <t xml:space="preserve"> (d)</t>
  </si>
  <si>
    <t xml:space="preserve">Annual Wage Level Changes   </t>
  </si>
  <si>
    <t>Annual Wage</t>
  </si>
  <si>
    <t>Premium Adjustment Factors</t>
  </si>
  <si>
    <t>(2a)</t>
  </si>
  <si>
    <t>(2b)</t>
  </si>
  <si>
    <t>(2c)</t>
  </si>
  <si>
    <t>(7)</t>
  </si>
  <si>
    <t>Ratio of</t>
  </si>
  <si>
    <t>Factor to</t>
  </si>
  <si>
    <t>Insurer Premium</t>
  </si>
  <si>
    <t>Off-Balance</t>
  </si>
  <si>
    <t>Industry Average</t>
  </si>
  <si>
    <t>Industry</t>
  </si>
  <si>
    <t>to an Industry</t>
  </si>
  <si>
    <t>Correction in</t>
  </si>
  <si>
    <t>Charged Rates</t>
  </si>
  <si>
    <t>Average Filed</t>
  </si>
  <si>
    <t>Adjustment</t>
  </si>
  <si>
    <t>Advisory</t>
  </si>
  <si>
    <t>for Impact</t>
  </si>
  <si>
    <t>to Advisory</t>
  </si>
  <si>
    <t>Pure Premium</t>
  </si>
  <si>
    <t xml:space="preserve">Pure Premium </t>
  </si>
  <si>
    <t>to Remove</t>
  </si>
  <si>
    <t>Average</t>
  </si>
  <si>
    <t>of Premium</t>
  </si>
  <si>
    <t>Calendar</t>
  </si>
  <si>
    <t>Rate Level as of</t>
  </si>
  <si>
    <t>Surcharge</t>
  </si>
  <si>
    <t>Experience</t>
  </si>
  <si>
    <t>Resulting from</t>
  </si>
  <si>
    <t>Wage Level (a)</t>
  </si>
  <si>
    <t>Rates (b)</t>
  </si>
  <si>
    <t>Premium (e)</t>
  </si>
  <si>
    <t>Modification (f)</t>
  </si>
  <si>
    <t>Rates</t>
  </si>
  <si>
    <t>Audits (g)</t>
  </si>
  <si>
    <t>Factor (h)</t>
  </si>
  <si>
    <t>See Exhibit 5.1.</t>
  </si>
  <si>
    <t>Based on WCIRB calendar year experience calls.  The industry average charged rates reflect most rating plan adjustments but do not reflect</t>
  </si>
  <si>
    <t>the application of deductible credits or retrospective rating plan adjustments.</t>
  </si>
  <si>
    <t>(2b) ÷ (2a).  This column adjusts premiums at the industry average charged rate level to the industry average filed pure premium</t>
  </si>
  <si>
    <t>Based on unit statistical data.</t>
  </si>
  <si>
    <t xml:space="preserve">Based on average promulgated experience modifications.  Calendar years 1996 through 2000 include adjustments for the impacts of </t>
  </si>
  <si>
    <t>AB 1913 and SB 1217 (1998).</t>
  </si>
  <si>
    <t>(g)</t>
  </si>
  <si>
    <t>Based on a comparison of premium reported on a calendar year basis to premium reported on an estimated ultimate policy year basis over</t>
  </si>
  <si>
    <t xml:space="preserve">the course of two accident years.  The factor is applied only for calendar years 2007 to 2010, during which reported premiums were impacted by </t>
  </si>
  <si>
    <t>recessionary economic forces.</t>
  </si>
  <si>
    <t>(h)</t>
  </si>
  <si>
    <t>(1)x(2c)x(3)x(6) ÷ [(4)x(5)] for calendar years 2007 to 2010.  (1)x(2c)x(3) ÷ [(4)x(5)] for all other calendar years.</t>
  </si>
  <si>
    <t>Annual %</t>
  </si>
  <si>
    <t>Annual Log Differences</t>
  </si>
  <si>
    <t>Changes Intra-</t>
  </si>
  <si>
    <t>Intra-Class Indemnity Frequency</t>
  </si>
  <si>
    <t>AY+1</t>
  </si>
  <si>
    <t>Economic</t>
  </si>
  <si>
    <t>CalOSHA</t>
  </si>
  <si>
    <t>Class Ind Freq</t>
  </si>
  <si>
    <t>Variables</t>
  </si>
  <si>
    <t>Dummy</t>
  </si>
  <si>
    <t>AY</t>
  </si>
  <si>
    <t>Non-cum.</t>
  </si>
  <si>
    <t>Benefit Level</t>
  </si>
  <si>
    <t>Injury Index</t>
  </si>
  <si>
    <t>(1st Prin. Comp.)</t>
  </si>
  <si>
    <t>Variable</t>
  </si>
  <si>
    <t>Y = Hazardousness-Adjusted Noncumulative Indemnity Claim Frequency</t>
  </si>
  <si>
    <t>Constant</t>
  </si>
  <si>
    <t>Std Err of Y Est</t>
  </si>
  <si>
    <t>R Squared</t>
  </si>
  <si>
    <t>No. of Observations</t>
  </si>
  <si>
    <t>Degrees of Freedom</t>
  </si>
  <si>
    <t>X Coefficient(s)</t>
  </si>
  <si>
    <t>Std Err of Coef.</t>
  </si>
  <si>
    <t>Notes:</t>
  </si>
  <si>
    <t>Projection of Indemnity Severity Trends by Accident Year</t>
  </si>
  <si>
    <t>Estimated</t>
  </si>
  <si>
    <t xml:space="preserve">Accident </t>
  </si>
  <si>
    <t>Severity</t>
  </si>
  <si>
    <t>% Change</t>
  </si>
  <si>
    <t>(1) x (3)</t>
  </si>
  <si>
    <t>Source: WCIRB experience calls.</t>
  </si>
  <si>
    <t>Factor (a)</t>
  </si>
  <si>
    <t>Projection of Medical Severity Trends by Accident Year</t>
  </si>
  <si>
    <t xml:space="preserve">    (c) Severities for accident years 2011 and subsequent do not reflect the cost of medical cost 
         containment programs (MCCP). Severities for accident years 2010 and prior do reflect 
         MCCP costs.</t>
  </si>
  <si>
    <t>Severity (a)</t>
  </si>
  <si>
    <t>Factor (b)</t>
  </si>
  <si>
    <t>Adjusted to Remove the Cost of Medical Cost Containment Programs (MCCP)</t>
  </si>
  <si>
    <t>MCCP Removed Based on</t>
  </si>
  <si>
    <t>WCIRB Aggregate</t>
  </si>
  <si>
    <t>MCCP Included</t>
  </si>
  <si>
    <t>Calendar Year Data Calls (b)</t>
  </si>
  <si>
    <t>(8)</t>
  </si>
  <si>
    <t>(9)</t>
  </si>
  <si>
    <t>On-Level</t>
  </si>
  <si>
    <t>Severity (c)</t>
  </si>
  <si>
    <t>Selected Medical Severity Trend:</t>
  </si>
  <si>
    <t xml:space="preserve">    (a) Estimated ultimate severities for all accident years were derived by dividing ultimate medical losses on indemnity 
         claims by ultimate indemnity claim counts.</t>
  </si>
  <si>
    <t xml:space="preserve">    (b) Adjustments to accident years 2005 through 2010 based on WCIRB’s Annual Calls for Direct California Workers’
          Compensation Aggregate Indemnity and Medical Costs.</t>
  </si>
  <si>
    <t>Projected On-Level Accident Year</t>
  </si>
  <si>
    <t>Indemnity Loss to Industry Average Filed Pure Premium Ratios</t>
  </si>
  <si>
    <t>On-Level Indemnity to</t>
  </si>
  <si>
    <t>Developed Indemnity</t>
  </si>
  <si>
    <t>Composite Indemnity</t>
  </si>
  <si>
    <t>Composite Premium</t>
  </si>
  <si>
    <t>Industry Average Filed</t>
  </si>
  <si>
    <t>Adjustment Factor(b)</t>
  </si>
  <si>
    <t>Adjustment Factor(c)</t>
  </si>
  <si>
    <t>Pure Premium Ratio</t>
  </si>
  <si>
    <t>(1)×(2)÷(3)</t>
  </si>
  <si>
    <t>Projections (d)</t>
  </si>
  <si>
    <t>See Exhibit 3.1.</t>
  </si>
  <si>
    <t>See Exhibit 4.1.</t>
  </si>
  <si>
    <t>See Exhibit 5.2.</t>
  </si>
  <si>
    <t>Medical Loss to Industry Average Filed Pure Premium Ratios</t>
  </si>
  <si>
    <t>On-Level Medical to</t>
  </si>
  <si>
    <t>Developed Medical</t>
  </si>
  <si>
    <t>Composite Medical</t>
  </si>
  <si>
    <t>On-Level Factor(b)</t>
  </si>
  <si>
    <t>See Exhibit 3.2. Medical loss ratios for accident years 2011 and subsequent do not reflect the cost of medical cost containment programs (MCCP). Ratios for accident years 2010 and prior do reflect MCCP costs.</t>
  </si>
  <si>
    <t>See Exhibit 4.4.</t>
  </si>
  <si>
    <t>Indicated Loss to Industry Average Filed Pure Premium Ratios</t>
  </si>
  <si>
    <t>1.</t>
  </si>
  <si>
    <t>Projected Loss to Industry Average Filed Pure Premium Ratio
(See Exhibits 7.1 and 7.3)</t>
  </si>
  <si>
    <t>Projected Loss Adjustment Expense Factor</t>
  </si>
  <si>
    <t>4.</t>
  </si>
  <si>
    <t>6.</t>
  </si>
  <si>
    <t>Cumulative Unadjusted</t>
  </si>
  <si>
    <t xml:space="preserve">----- </t>
  </si>
  <si>
    <t>Indemnity Benefit Level variable is leading. The benefit level change for AY 2004 is related to the AY 2003 change in non-cumulative frequency.</t>
  </si>
  <si>
    <t>The Indemnity Benefit Level change for Ogilvie &amp; Almaraz / Guzman in 2009-2010 is not leading.</t>
  </si>
  <si>
    <t>The Indemnity Benefit Level variable excludes indemnity benefit utilization, and changes in the death and permanent total benefits.</t>
  </si>
  <si>
    <t>The Indemnity Benefit Level variable has been revised due to on-leveling reassessments.  See Actuarial Committee item AC09-03-03.</t>
  </si>
  <si>
    <t>For 1993 on, cumulative claims include both cumulative trauma and occupational disease claims. See March 19, 2014 Actuarial Committee Agenda Item III.</t>
  </si>
  <si>
    <t>The constant term, -0.020, consists of measured offsets that recognize annual changes in real benefit levels relative to nominal</t>
  </si>
  <si>
    <t>benefit levels and long-term economic growth. Without these offsets, the indemnity benefit level and economic variables would project</t>
  </si>
  <si>
    <t>frequency to increase without bound.</t>
  </si>
  <si>
    <t>Factor</t>
  </si>
  <si>
    <t>Adj</t>
  </si>
  <si>
    <t>MCCP</t>
  </si>
  <si>
    <t>(5a)</t>
  </si>
  <si>
    <t>(5b)</t>
  </si>
  <si>
    <t>(4b)</t>
  </si>
  <si>
    <t>Without Frequency Adj.  (For Exh 6.2)</t>
  </si>
  <si>
    <t>Estimated Annual Exponential Trend</t>
  </si>
  <si>
    <t>ALAE</t>
  </si>
  <si>
    <t>ULAE</t>
  </si>
  <si>
    <t>(4a)</t>
  </si>
  <si>
    <t>Frequency Adj (Exh 6.1)</t>
  </si>
  <si>
    <t>Projection Assumptions</t>
  </si>
  <si>
    <t>w/ PDRS</t>
  </si>
  <si>
    <t>Reform Adj - w/ Freq</t>
  </si>
  <si>
    <t>Reform Adj - w/o Freq</t>
  </si>
  <si>
    <t>w/o PDRS</t>
  </si>
  <si>
    <t>PDRS weights</t>
  </si>
  <si>
    <t>PDRS Adjustment</t>
  </si>
  <si>
    <t>With Separate Adjustments on Open and Closed Claims</t>
  </si>
  <si>
    <t>for Changes in Claim Settlement Rates</t>
  </si>
  <si>
    <t>A. Total Reported Indemnity Claim Counts</t>
  </si>
  <si>
    <t xml:space="preserve">B. Development of Total Reported Indemnity Claim Counts </t>
  </si>
  <si>
    <t>Latest Year</t>
  </si>
  <si>
    <t>Acc. Year</t>
  </si>
  <si>
    <t>Ult. Claim Counts</t>
  </si>
  <si>
    <t>C. Closed Indemnity Claim Counts</t>
  </si>
  <si>
    <t>F. Average Paid Indemnity per Closed Claim</t>
  </si>
  <si>
    <t>Ratio of closed indemnity claim counts (Item C) to the estimated ultimate indemnity claim counts (Item B) for that accident year.</t>
  </si>
  <si>
    <t>The claim counts for the latest evaluation of each accident year are equal to the reported number of closed indemnity claims.  All prior evaluations shown are the product of the latest ultimate indemnity claim settlement ratio (Item D) and the ultimate indemnity claim counts (Item B) for that accident year.</t>
  </si>
  <si>
    <t>I. Paid Indemnity on Open Claims (in $000)</t>
  </si>
  <si>
    <t>Adjusted based on ultimate indemnity claim settlement ratios (Item D) and assuming a log-linear relationship between maturities.</t>
  </si>
  <si>
    <t>Each amount is the product of the adjusted closed indemnity claim counts (Item E) and the adjusted average paid indemnity per closed claim (Item G), and divided by $1,000.</t>
  </si>
  <si>
    <t xml:space="preserve">K. Changes in Paid Indemnity on Open Claims Resulting from the Impact of Changes in </t>
  </si>
  <si>
    <t>Each amount is equal to the product of [the average monthly indemnity payment per open indemnity claim] and [the number of months for the current evaluation].  For evaluations indicating claim settlement rate decreases, the average monthly indemnity payment per open indemnity claim at the prior evaluation is used.  For evaluations indicating claim settlement rate increases, the average monthly indemnity payment per open indemnity claim at the same evaluation is used.</t>
  </si>
  <si>
    <t>Each amount is equal to [the difference between unadjusted and adjusted closed indemnity claim counts (Items C and E)] multiplied by the corresponding [average paid indemnity per open claim for indemnity claims in transition (Item J)].</t>
  </si>
  <si>
    <t>Each amount is the sum of [paid indemnity on open claims (Item I)] and the corresponding [incremental changes in paid indemnity on open claims resulting from the impact of changes in claim settlement rates (Item K)].</t>
  </si>
  <si>
    <t>N. Paid Indemnity Loss Development Factors Based on Adjusted Total Paid Indemnity</t>
  </si>
  <si>
    <t>3-Year Average</t>
  </si>
  <si>
    <t>Each amount is the sum of the adjusted paid indemnity on closed claims (Item H) and the adjusted paid indemnity on open claims (Item L).</t>
  </si>
  <si>
    <t xml:space="preserve">Development factors are based on paid indemnity losses from the same insurer mix as that used in the adjustment for changes in claim settlement rates and applied in the calculation of the development factors in Item N.  </t>
  </si>
  <si>
    <t>(j)</t>
  </si>
  <si>
    <t>Each factor represents the change in age-to-age development factors from Item O to those in Item N.</t>
  </si>
  <si>
    <t>(k)</t>
  </si>
  <si>
    <t>Source:  Accident year experience of insurers with available claim count data</t>
  </si>
  <si>
    <t>F. Average Paid Medical per Closed Indemnity Claim</t>
  </si>
  <si>
    <t>I. Paid Medical on Open Indemnity Claims (in $000)</t>
  </si>
  <si>
    <t>Each amount is equal to the product of [adjusted closed indemnity claim counts (Item E)] and [adjusted average paid medical per closed indemnity claim (Item G)], and divided by $1,000.</t>
  </si>
  <si>
    <t>Source:  Accident year experience of insurers with available claim count and paid loss data</t>
  </si>
  <si>
    <t xml:space="preserve">K. Changes in Paid Medical on Open Indemnity Claims Resulting from the Impact of Changes in </t>
  </si>
  <si>
    <t>Each amount is equal to the product of [the average monthly medical payment per open indemnity claim] and [the number of months for the current evaluation].  For evaluations indicating claim settlement rate decreases, the average monthly medical payment per open indemnity claim at the prior evaluation is used.  For evaluations indicating claim settlement rate increases, the average monthly medical payment per open indemnity claim at the same evaluation is used.</t>
  </si>
  <si>
    <t>Each amount is equal to [the difference between unadjusted and adjusted closed indemnity claim counts (Items C and E)] multiplied by [the corresponding average paid medical per open indemnity claim for indemnity claims in transition (Item J)].</t>
  </si>
  <si>
    <t>Each amount is the sum of [paid medical on open indemnity claims (Item I)] and the corresponding [incremental changes in paid medical on open indemnity claims resulting from the impact of changes in indemnity claim settlement rates (Item K)].</t>
  </si>
  <si>
    <t>M. Paid Medical on Medical-Only Claims (in $000)</t>
  </si>
  <si>
    <t>O. Paid Medical Loss Development Factors Based on Adjusted Total Paid Medical</t>
  </si>
  <si>
    <t>Development factors are based on paid medical losses from the same insurer mix as that used in the adjustment for changes in claim settlement rates and applied in the calculation of the development factors in Item O.</t>
  </si>
  <si>
    <t>Each factor represents the change in age-to-age development factors from Item P to those in Item O.</t>
  </si>
  <si>
    <t>Accident years 2011 and subsequent do not reflect the paid cost of medical cost containment programs (MCCP).  Accident years 2010 and prior do reflect paid MCCP costs.</t>
  </si>
  <si>
    <t>7.</t>
  </si>
  <si>
    <t>Each factor is the product of [1.0 + the impact of adjustment for changes in claim settlement rates (Item P)] and [the paid indemnity age-to-age development factor from Exhibit 2.5.1].</t>
  </si>
  <si>
    <t>Severity Trend (Exh 6.2)</t>
  </si>
  <si>
    <t>Shown for informational purposes only.</t>
  </si>
  <si>
    <t>Incurred medical loss development factors include the paid cost of medical cost containment programs for accident years 2011 and prior.</t>
  </si>
  <si>
    <t>Paid medical loss development factors include the paid cost of medical cost containment programs for accident years 2011 and prior.</t>
  </si>
  <si>
    <t>Each factor is the product of [1.0 + the impact of adjustment for changes in claim settlement rates (Item Q)] and [the adjusted paid medical age-to-age development factor from Exhibit 2.6.1].</t>
  </si>
  <si>
    <t>See Exhibits 2.5.1 and 2.5.2.</t>
  </si>
  <si>
    <t>Based on calculations shown on Exhibits 2.5.3 to 2.5.8. Each of these selections is calculated as the latest year paid indemnity age-to-age factor multiplied by an adjustment for changes in claim settlement rates.</t>
  </si>
  <si>
    <t>Source:</t>
  </si>
  <si>
    <t>WCIRB quarterly experience calls</t>
  </si>
  <si>
    <t>Age-to-Age (in months) (b)</t>
  </si>
  <si>
    <t>Adjusted for Changes in Claim Settlement Rates</t>
  </si>
  <si>
    <t>Pure Premium Ratio(e)</t>
  </si>
  <si>
    <t>Evaluated as of (in months)</t>
  </si>
  <si>
    <r>
      <t>D. Ultimate Indemnity Claim Settlement Ratio</t>
    </r>
    <r>
      <rPr>
        <sz val="10"/>
        <rFont val="Arial"/>
        <family val="2"/>
      </rPr>
      <t xml:space="preserve"> (a)</t>
    </r>
  </si>
  <si>
    <r>
      <t>E. Adjusted Closed Indemnity Claim Counts at Equal Percentiles of Ultimate Claim Counts</t>
    </r>
    <r>
      <rPr>
        <sz val="10"/>
        <rFont val="Arial"/>
        <family val="2"/>
      </rPr>
      <t xml:space="preserve"> (b)</t>
    </r>
  </si>
  <si>
    <r>
      <t>G. Adjusted Average Paid Indemnity per Closed Claim</t>
    </r>
    <r>
      <rPr>
        <sz val="10"/>
        <rFont val="Arial"/>
        <family val="2"/>
      </rPr>
      <t xml:space="preserve"> (c)</t>
    </r>
  </si>
  <si>
    <r>
      <t>H. Adjusted Paid Indemnity on Closed Claims (in $000)</t>
    </r>
    <r>
      <rPr>
        <sz val="10"/>
        <rFont val="Arial"/>
        <family val="2"/>
      </rPr>
      <t xml:space="preserve"> (d)</t>
    </r>
  </si>
  <si>
    <r>
      <t>J. Average Paid Indemnity per Open Claim for Indemnity Claims in Transition</t>
    </r>
    <r>
      <rPr>
        <sz val="10"/>
        <rFont val="Arial"/>
        <family val="2"/>
      </rPr>
      <t xml:space="preserve"> (e)</t>
    </r>
  </si>
  <si>
    <r>
      <t xml:space="preserve">     </t>
    </r>
    <r>
      <rPr>
        <u/>
        <sz val="10"/>
        <rFont val="Arial"/>
        <family val="2"/>
      </rPr>
      <t>Claim Settlement Rates (in $000)</t>
    </r>
    <r>
      <rPr>
        <sz val="10"/>
        <rFont val="Arial"/>
        <family val="2"/>
      </rPr>
      <t xml:space="preserve"> (f)</t>
    </r>
  </si>
  <si>
    <r>
      <t>L. Adjusted Paid Indemnity on Open Claims (in $000)</t>
    </r>
    <r>
      <rPr>
        <sz val="10"/>
        <rFont val="Arial"/>
        <family val="2"/>
      </rPr>
      <t xml:space="preserve"> (g)</t>
    </r>
  </si>
  <si>
    <r>
      <t>M. Adjusted Total Paid Indemnity (in $000)</t>
    </r>
    <r>
      <rPr>
        <sz val="10"/>
        <rFont val="Arial"/>
        <family val="2"/>
      </rPr>
      <t xml:space="preserve"> (h)</t>
    </r>
  </si>
  <si>
    <r>
      <t>O. Paid Indemnity Loss Development Factors</t>
    </r>
    <r>
      <rPr>
        <sz val="10"/>
        <rFont val="Arial"/>
        <family val="2"/>
      </rPr>
      <t xml:space="preserve"> (i)</t>
    </r>
  </si>
  <si>
    <r>
      <t>P. Impact of Adjustment for Changes in Claim Settlement Rates</t>
    </r>
    <r>
      <rPr>
        <sz val="10"/>
        <rFont val="Arial"/>
        <family val="2"/>
      </rPr>
      <t xml:space="preserve"> (j)</t>
    </r>
  </si>
  <si>
    <r>
      <t>G. Adjusted Average Paid Medical per Closed Indemnity Claim</t>
    </r>
    <r>
      <rPr>
        <sz val="10"/>
        <rFont val="Arial"/>
        <family val="2"/>
      </rPr>
      <t xml:space="preserve"> (c)</t>
    </r>
  </si>
  <si>
    <r>
      <t>H. Adjusted Paid Medical (in $000) on Closed Indemnity Claims</t>
    </r>
    <r>
      <rPr>
        <sz val="10"/>
        <rFont val="Arial"/>
        <family val="2"/>
      </rPr>
      <t xml:space="preserve"> (d)</t>
    </r>
  </si>
  <si>
    <r>
      <t>J. Average Paid Medical per Open Indemnity Claim for Indemnity Claims in Transition</t>
    </r>
    <r>
      <rPr>
        <sz val="10"/>
        <rFont val="Arial"/>
        <family val="2"/>
      </rPr>
      <t xml:space="preserve"> (e)</t>
    </r>
  </si>
  <si>
    <r>
      <t xml:space="preserve">     </t>
    </r>
    <r>
      <rPr>
        <u/>
        <sz val="10"/>
        <rFont val="Arial"/>
        <family val="2"/>
      </rPr>
      <t>Indemnity Claim Settlement Rates (in $000)</t>
    </r>
    <r>
      <rPr>
        <sz val="10"/>
        <rFont val="Arial"/>
        <family val="2"/>
      </rPr>
      <t xml:space="preserve"> (f)</t>
    </r>
  </si>
  <si>
    <r>
      <t>L. Adjusted Paid Medical on Open Indemnity Claims (in $000)</t>
    </r>
    <r>
      <rPr>
        <sz val="10"/>
        <rFont val="Arial"/>
        <family val="2"/>
      </rPr>
      <t xml:space="preserve"> (g)</t>
    </r>
  </si>
  <si>
    <r>
      <t>N. Adjusted Total Paid Medical (in $000)</t>
    </r>
    <r>
      <rPr>
        <sz val="10"/>
        <rFont val="Arial"/>
        <family val="2"/>
      </rPr>
      <t xml:space="preserve"> (h)</t>
    </r>
  </si>
  <si>
    <t>Each amount is the sum of [adjusted paid medical on closed indemnity claims (Item H)], [adjusted paid medical on open indemnity claims (Item L)] and [paid medical on medical-only claims (Item M)].  The effect of the paid cost of medical cost containment programs are only present for accident years 2011 and prior.</t>
  </si>
  <si>
    <r>
      <t>P. Paid Medical Loss Development Factors</t>
    </r>
    <r>
      <rPr>
        <sz val="10"/>
        <rFont val="Arial"/>
        <family val="2"/>
      </rPr>
      <t xml:space="preserve"> (i)</t>
    </r>
  </si>
  <si>
    <r>
      <t>Q. Impact of Adjustment for Changes in Indemnity Claim Settlement Rates</t>
    </r>
    <r>
      <rPr>
        <sz val="10"/>
        <rFont val="Arial"/>
        <family val="2"/>
      </rPr>
      <t xml:space="preserve"> (j)</t>
    </r>
  </si>
  <si>
    <r>
      <t xml:space="preserve">R. Paid Medical Loss Development Factors Adjusted for Changes in Indemnity
</t>
    </r>
    <r>
      <rPr>
        <sz val="10"/>
        <rFont val="Arial"/>
        <family val="2"/>
      </rPr>
      <t xml:space="preserve">     </t>
    </r>
    <r>
      <rPr>
        <u/>
        <sz val="10"/>
        <rFont val="Arial"/>
        <family val="2"/>
      </rPr>
      <t>Claim Settlement Rates</t>
    </r>
    <r>
      <rPr>
        <sz val="10"/>
        <rFont val="Arial"/>
        <family val="2"/>
      </rPr>
      <t xml:space="preserve"> (k)</t>
    </r>
  </si>
  <si>
    <t>Age-to-Age</t>
  </si>
  <si>
    <t>Medical**</t>
  </si>
  <si>
    <t>Based on calculations shown on Exhibits 2.6.3 to 2.6.8. Each of these selections are calculated as the latest year paid medical age-to-age factor multiplied by an adjustment for changes in claim settlement rates.</t>
  </si>
  <si>
    <t xml:space="preserve">Cumulative Adjusted </t>
  </si>
  <si>
    <t>for Impact of SB 1160</t>
  </si>
  <si>
    <t xml:space="preserve">Cumulative Unadjusted </t>
  </si>
  <si>
    <t>for Impact of SB 1160(f)</t>
  </si>
  <si>
    <t>Cumulative Adjusted</t>
  </si>
  <si>
    <t>for Impact of SB 1160(d)</t>
  </si>
  <si>
    <t>Level Change(a)</t>
  </si>
  <si>
    <t>Reform Adjusted</t>
  </si>
  <si>
    <t>Unadjusted for</t>
  </si>
  <si>
    <t>Adjusted for</t>
  </si>
  <si>
    <t>(1) + ((6) - (2))</t>
  </si>
  <si>
    <t>See Exhibits 2.6.1 and 2.6.2.</t>
  </si>
  <si>
    <t xml:space="preserve">Based on WCIRB evaluations of the average impact of legislative changes on the cost of indemnity benefits.  These annual changes in benefits reflect the WCIRB's retrospective estimates of the cost impact of recent legislation as reflected in emerging post-reform costs.  The annual cost impacts have been segregated between claim severity and claim frequency impacts. </t>
  </si>
  <si>
    <t xml:space="preserve">    (c) Ultimate severities are on-leveled based on adjustment factors shown on Exhibit 6.3.</t>
  </si>
  <si>
    <r>
      <t xml:space="preserve">Q. Paid Indemnity Loss Development Factors Adjusted for Changes in
</t>
    </r>
    <r>
      <rPr>
        <sz val="10"/>
        <rFont val="Arial"/>
        <family val="2"/>
      </rPr>
      <t xml:space="preserve">    </t>
    </r>
    <r>
      <rPr>
        <u/>
        <sz val="10"/>
        <rFont val="Arial"/>
        <family val="2"/>
      </rPr>
      <t>Indemnity Claim Settlement Rates</t>
    </r>
    <r>
      <rPr>
        <sz val="10"/>
        <rFont val="Arial"/>
        <family val="2"/>
      </rPr>
      <t xml:space="preserve"> (k)</t>
    </r>
  </si>
  <si>
    <t>(a) These adjustment factors are based on Exhibit 4.1, excluding the impact of frequency.</t>
  </si>
  <si>
    <t>From a Special Carrier Study through 1990. Based on WCIRB's Aggregate Indemnity and Medical Costs Calls for years 1991 through 2012. Based on WCIRB medical transaction data from 2013 onwards. Accident years 2011 and subsequent do not include MCCP costs.</t>
  </si>
  <si>
    <t xml:space="preserve">(g)  </t>
  </si>
  <si>
    <t>w/ MCCP</t>
  </si>
  <si>
    <r>
      <t xml:space="preserve">Projected Ultimate 
</t>
    </r>
    <r>
      <rPr>
        <u/>
        <sz val="10"/>
        <rFont val="Arial"/>
        <family val="2"/>
      </rPr>
      <t>Loss Ratio</t>
    </r>
  </si>
  <si>
    <t>(4) = (1) x (3)</t>
  </si>
  <si>
    <t xml:space="preserve">    (b) These adjustment factors are based on Exhibit 4.4, excluding the impact of frequency, and 
         including the impact of SB 1160 provisions applicable to outstanding medical losses.</t>
  </si>
  <si>
    <t>Based on the WCIRB's evaluation of the cost impact of changes in the medical fee schedules.</t>
  </si>
  <si>
    <t>2018 Accident Year Indemnity Claim Frequency Model</t>
  </si>
  <si>
    <t>2017*</t>
  </si>
  <si>
    <t>Regression is over AY 1979 through AY 2017.  AY 2018 through AY 2021 are projections.</t>
  </si>
  <si>
    <t>5.</t>
  </si>
  <si>
    <t>Developed</t>
  </si>
  <si>
    <t>Loss Ratio (b)</t>
  </si>
  <si>
    <t>Annual(c)</t>
  </si>
  <si>
    <t>Reforms(c)</t>
  </si>
  <si>
    <t>Loss Ratio (d)</t>
  </si>
  <si>
    <t>(2) x (5)</t>
  </si>
  <si>
    <t>As of PY 2016 1st Set &amp; June 2019 UCLA</t>
  </si>
  <si>
    <t>per $M Exposure at PY 2017 Level</t>
  </si>
  <si>
    <t>Economic variables are historical through 2018; June 2019 UCLA Anderson Forecasts for 2019 on.</t>
  </si>
  <si>
    <t>*AY 2017 change is based on a comparison of 2017 accidents on 2016 policies to 2016 accidents on 2015 policies.</t>
  </si>
  <si>
    <t>These factors are adjusted for the losses paid prior to July 1, 2017 by -3.6%, -3.8%, -3.4%, -2.4%, -0.9%, and -0.1% to accident years 2011 to 2016, respectively, for the SB 1160 lien reforms. Factors are also adjusted for the impact of pharmaceutical cost reductions to bring the historical payments to the current pharmaceutical cost level.</t>
  </si>
  <si>
    <t xml:space="preserve">    (a) Estimated ultimate severities for all accident years are derived by dividing ultimate medical 
         losses on indemnity claims by ultimate indemnity claim counts.  The estimated ultimate 
         medical severities were derived from the projected ultimate loss ratios shown in Exhibit 3.2, 
         column (7).
</t>
  </si>
  <si>
    <t>Based on experience evaluated as of March 31, 2019. Reflects an adjustment for the pharmaceutical cost reductions to restate the historical medical paid-to-date ratios at a 2018 pharmaceutical cost level.</t>
  </si>
  <si>
    <t>These impacts are based on the weekly wages (See Exhibit 5.1) of injured workers and the legislatively scheduled benefits for that year. Values for 2017 and prior have been updated to reflect a recent WCIRB reassessment of the impact of wage inflation on indemnity benefit levels.</t>
  </si>
  <si>
    <t>2.</t>
  </si>
  <si>
    <t>3.</t>
  </si>
  <si>
    <t>Indicated Total Loss and Loss Adjustment Expense to Industry Average Filed Pure Premium Ratio
(1) x (2)</t>
  </si>
  <si>
    <t>January 1, 2019</t>
  </si>
  <si>
    <t>Historical wage changes through 2016 are based on Bureau of Labor Statistics data. 2019 wage change is based on California Department of Finance as of April 2019. Forecasts for 2017, 2018 and 2020 and forward are based on the average of wage level projections made by the UCLA Anderson School of Business as of June 2019 and those made by the California Department of Finance as of April 2019.</t>
  </si>
  <si>
    <r>
      <t xml:space="preserve">Accident
</t>
    </r>
    <r>
      <rPr>
        <u/>
        <sz val="10"/>
        <rFont val="Arial"/>
        <family val="2"/>
      </rPr>
      <t>Year</t>
    </r>
  </si>
  <si>
    <t>The developed medical loss ratios shown were derived based on an adjustment for pharmaceutical cost reductions. They are only for purposes of projecting future medical loss ratios and do not reflect true estimates of ultimate loss ratios for those accident years.</t>
  </si>
  <si>
    <t>Reflects the WCIRB’s most recent estimates of the cost impact of legislation. Does not include the impact of the SB 1160 lien provisions on future medical costs as well as the estimated reductions to pharmaceutical costs attributable to SB 863, which are reflected in the medical loss development projections.</t>
  </si>
  <si>
    <t>(ALAE + MCCP + ULAE, See Appendix C)</t>
  </si>
  <si>
    <t>Selections are latest year for the 15-to-27 month through 99-to-111 month factors and six-year average for the subsequent age-to-age factors.</t>
  </si>
  <si>
    <t>The ULT/411Inc tail factor was calculated based on an inverse power curve fit to a six-year average of the 111-to-123 through 339-to-351 factors, excluding most recent three evaluations, and extrapolated to 80 development years.</t>
  </si>
  <si>
    <t>The 63-to-ultimate factor for accident year 2014 and the 75-to-ultimate factor for accident year 2013 have been adjusted by 0.0% and 0.0% respectively, for the impacts of SB 863 on indemnity loss development.</t>
  </si>
  <si>
    <t>Selections are latest year for the 15-to-27 month through 99-to-111 month factors and three-year average for the subsequent age-to-age factors.</t>
  </si>
  <si>
    <t>The cumulative factors for 27, 39, 51, 63, and 75 months are adjusted by -4.8%, -3.7%, -2.5%, -1.5%, and -0.7%, respectively, for the impact of the SB 1160 reductions in future lien filings.</t>
  </si>
  <si>
    <t>Selections are latest year for the 15-to-27 month through 99-to-111 month factors and three-year average for the subsequent paid age-to-age factors. Paid development factors are selected to age 255, where an incurred-to-paid ratio is chosen, and subsequently, six-year average incurred loss development factors are selected until ultimate.</t>
  </si>
  <si>
    <t>A three-year average of the 255Inc/255Pd factor is selected.</t>
  </si>
  <si>
    <t>These on-level ratios were projected based on an estimated annual indemnity severity trend from Exhibit 6.2, the actual frequency trend for accident year 2018 from Appendix B, Exhibit 1, and projected frequency trends for accident years 2019 through 2021 from Exhibit 6.1; these trends were then separately applied to the 2017 and 2018 on-level ratios.</t>
  </si>
  <si>
    <t>These on-level ratios were projected based on an estimated annual medical severity trend from Exhibit 6.4, the actual frequency trend for accident year 2018 from Appendix B, Exhibit 1, and projected frequency trends for accident years 2019 through 2021 from Exhibit 6.1; these trends were then separately applied to the 2017 and 2018 on-level ratios.</t>
  </si>
  <si>
    <t>Accident Year Experience as of March 31, 2019</t>
  </si>
  <si>
    <t>1/1/2021</t>
  </si>
  <si>
    <t>27/15</t>
  </si>
  <si>
    <t>39/27</t>
  </si>
  <si>
    <t>51/39</t>
  </si>
  <si>
    <t>63/51</t>
  </si>
  <si>
    <t>75/63</t>
  </si>
  <si>
    <t>87/75</t>
  </si>
  <si>
    <t>99/87</t>
  </si>
  <si>
    <t>111/99</t>
  </si>
  <si>
    <t>123/111</t>
  </si>
  <si>
    <t>135/123</t>
  </si>
  <si>
    <t>147/135</t>
  </si>
  <si>
    <t>159/147</t>
  </si>
  <si>
    <t>171/159</t>
  </si>
  <si>
    <t>183/171</t>
  </si>
  <si>
    <t>195/183</t>
  </si>
  <si>
    <t>207/195</t>
  </si>
  <si>
    <t>219/207</t>
  </si>
  <si>
    <t>231/219</t>
  </si>
  <si>
    <t>243/231</t>
  </si>
  <si>
    <t>255/243</t>
  </si>
  <si>
    <t>267/255</t>
  </si>
  <si>
    <t>279/267</t>
  </si>
  <si>
    <t>291/279</t>
  </si>
  <si>
    <t>303/291</t>
  </si>
  <si>
    <t>315/303</t>
  </si>
  <si>
    <t>327/315</t>
  </si>
  <si>
    <t>339/327</t>
  </si>
  <si>
    <t>351/339</t>
  </si>
  <si>
    <t>363/351</t>
  </si>
  <si>
    <t>375/363</t>
  </si>
  <si>
    <t>387/375</t>
  </si>
  <si>
    <t>399/387</t>
  </si>
  <si>
    <t>411/399</t>
  </si>
  <si>
    <t>ULT/411Inc (b)</t>
  </si>
  <si>
    <t>ULT/411Inc (c)</t>
  </si>
  <si>
    <t>411Inc/411Pd (b)</t>
  </si>
  <si>
    <t>Three-year averages of the 411Inc/411Pd  factors are selected.</t>
  </si>
  <si>
    <t>411Inc/411Pd (e)</t>
  </si>
  <si>
    <t>ULT/411Inc (f)</t>
  </si>
  <si>
    <t>Six-year averages of the 411Inc/411Pd  factors are selected.</t>
  </si>
  <si>
    <t>Selected Indemnity Development Factors - Paid to Age 255, Incurred from Age 255 to Ultimate</t>
  </si>
  <si>
    <t>255Inc/255Pd (b)</t>
  </si>
  <si>
    <t>Selected Indemnity Development Factors - Paid to Age 255, Incurred from Age 255 to Ultimate (Continued)</t>
  </si>
  <si>
    <t xml:space="preserve">ULT/411Inc (d)  </t>
  </si>
  <si>
    <t>15-27</t>
  </si>
  <si>
    <t>27-39</t>
  </si>
  <si>
    <t>39-51</t>
  </si>
  <si>
    <t>51-63</t>
  </si>
  <si>
    <t>63-75</t>
  </si>
  <si>
    <t>75-Ultimate</t>
  </si>
  <si>
    <t>Selected Medical Development Factors - Paid to Age 255, Incurred from Age 255 to Ultimate</t>
  </si>
  <si>
    <t>255Inc/255Pd (d)</t>
  </si>
  <si>
    <t>Selected Medical Development Factors - Paid to Age 255, Incurred from Age 255 to Ultimate (Continued)</t>
  </si>
  <si>
    <t xml:space="preserve">ULT/411Inc (g)  </t>
  </si>
  <si>
    <t>Based on Experience as of March 31, 2019</t>
  </si>
  <si>
    <t>(Annual 0.5)</t>
  </si>
  <si>
    <t>(Annual 2.1)</t>
  </si>
  <si>
    <t>These factors represent the combined impact of the annual benefit changes on claim severity shown in Column (1), claim frequencies shown in Column (2) and wage inflation impact on benefits shown in Column (3), adjusted to the 2020 level.</t>
  </si>
  <si>
    <t>(Annual 0.0%)</t>
  </si>
  <si>
    <t>(Annual 2.6%)</t>
  </si>
  <si>
    <t>These factors adjust the annual impact shown in Column (3) to the 1/1/2021 level.</t>
  </si>
  <si>
    <t>1/1/2021 Wage Level</t>
  </si>
  <si>
    <t>Projected:</t>
  </si>
  <si>
    <t>(Annual = 3.5)</t>
  </si>
  <si>
    <t>July 1, 2019 (c)</t>
  </si>
  <si>
    <t>July 1, 2019 (d)</t>
  </si>
  <si>
    <t xml:space="preserve">Reflects (1) advisory pure premium rate level changes to bring premium to the advisory July 1, 2019 pure premium rate level and </t>
  </si>
  <si>
    <t>average filed pure premium rate as of July 1, 2019 ($1.99).</t>
  </si>
  <si>
    <t>rate level as of July 1, 2019.</t>
  </si>
  <si>
    <t>Estimated Annual Exponential Trend Based on 1990 to 2018:</t>
  </si>
  <si>
    <t>Estimated Annual Exponential Trend Based on 2005 to 2018:</t>
  </si>
  <si>
    <t>Estimated Annual Exponential Trend Based on 2014 to 2018:</t>
  </si>
  <si>
    <t>Trend Based on 1990 to 2018:</t>
  </si>
  <si>
    <t>N/A</t>
  </si>
  <si>
    <t>Trend Based on 2005 to 2018:</t>
  </si>
  <si>
    <t>Trend Based on 2014 to 2018:</t>
  </si>
  <si>
    <t>For Policies with Effective Dates between January 1, 2020 and December 31, 2020</t>
  </si>
  <si>
    <t>Difference in Off-Balance Factor
(See Section C, Appendix B of the WCIRB's January 1, 2020 Regulatory Filing)</t>
  </si>
  <si>
    <t>Indicated Difference from Industry Average Filed Pure Premium Rate per 
$100 of Payroll as of July 1, 2019
[(3) x [(4) + 1.0] - 1.0]</t>
  </si>
  <si>
    <t>Industry Average Filed Pure Premium Rate per $100 of Payroll as of 
July 1, 2019</t>
  </si>
  <si>
    <t>Indicated Average Pure Premium Rate per $100 of Payroll for Policies with Effective Dates between January 1, 2020 and December 31, 2020
(6) x [1.0 + (5)]</t>
  </si>
  <si>
    <t>MCCP Calculation***</t>
  </si>
  <si>
    <t>Paid Med</t>
  </si>
  <si>
    <t>MCCP %</t>
  </si>
  <si>
    <t>For Power Tail</t>
  </si>
  <si>
    <t>6-Yr Average</t>
  </si>
  <si>
    <t>Incurred Indemnity Power Tail Calculation</t>
  </si>
  <si>
    <t>Age</t>
  </si>
  <si>
    <t>6-Yr Avg</t>
  </si>
  <si>
    <t>LN(Age)</t>
  </si>
  <si>
    <t>LN(6-Yr Avg)</t>
  </si>
  <si>
    <t>From Exhibit 2.1.1.</t>
  </si>
  <si>
    <t>From Exhibit 2.1.2.</t>
  </si>
  <si>
    <t>From Exhibit 2.2.1.</t>
  </si>
  <si>
    <t>From Exhibit 2.2.2.</t>
  </si>
  <si>
    <t>Incurred Medical Power Tail Calculation</t>
  </si>
  <si>
    <t>Factors as noted in footnote (d):</t>
  </si>
  <si>
    <t>SB 1160</t>
  </si>
  <si>
    <t>Settlement - Adjusted</t>
  </si>
  <si>
    <t>Incremental Change between Adjusted Closed and Unadjusted Closed Indemnity Claims</t>
  </si>
  <si>
    <t>Paid Indemnity Loss Development Factors from Exhibit 2.3.1</t>
  </si>
  <si>
    <t>Factors as noted in footnote (f):</t>
  </si>
  <si>
    <t>Paid Medical Loss Development Factors from Exhibit 2.6.1</t>
  </si>
  <si>
    <t>Estimated Ultimate Severity w/o MCCP</t>
  </si>
  <si>
    <t>Policy</t>
  </si>
  <si>
    <t>MCCP %*</t>
  </si>
  <si>
    <t>w/o MCCP</t>
  </si>
  <si>
    <t>w/o MCCP ∆</t>
  </si>
  <si>
    <t>*MCCP percentages are derived from Calendar Year Data Calls</t>
  </si>
  <si>
    <t>(2) an additional adjustment factor, which is the ratio of the average advisory January 1, 2019 pure premium rate ($1.67) to the industry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</si>
</sst>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8" formatCode="&quot;$&quot;#,##0.00_);[Red]\(&quot;$&quot;#,##0.00\)"/>
    <numFmt numFmtId="43" formatCode="_(* #,##0.00_);_(* \(#,##0.00\);_(* &quot;-&quot;??_);_(@_)"/>
    <numFmt numFmtId="164" formatCode="0.000"/>
    <numFmt numFmtId="165" formatCode="#,##0.000"/>
    <numFmt numFmtId="166" formatCode="#,##0.00000"/>
    <numFmt numFmtId="167" formatCode="0.00000"/>
    <numFmt numFmtId="168" formatCode="0.000000"/>
    <numFmt numFmtId="169" formatCode="0.0"/>
    <numFmt numFmtId="170" formatCode="0.0%"/>
    <numFmt numFmtId="171" formatCode="0.0%\ \ \ \ \ \ \ \ "/>
    <numFmt numFmtId="172" formatCode="0.000\ \ \ \ \ \ \ \ "/>
    <numFmt numFmtId="173" formatCode="0.0000"/>
    <numFmt numFmtId="174" formatCode="General\ \ \ \ \ \ \ \ "/>
    <numFmt numFmtId="175" formatCode="#,##0.000000"/>
    <numFmt numFmtId="176" formatCode="_(* #,##0_);_(* \(#,##0\);_(* &quot;-&quot;??_);_(@_)"/>
    <numFmt numFmtId="177" formatCode="0.0000%"/>
  </numFmts>
  <fonts count="27">
    <font>
      <sz val="11"/>
      <color theme="1"/>
      <name val="Calibri"/>
      <family val="2"/>
      <scheme val="minor"/>
    </font>
    <font>
      <sz val="10"/>
      <name val="Arial"/>
      <family val="2"/>
    </font>
    <font>
      <b/>
      <sz val="10"/>
      <name val="Arial"/>
      <family val="2"/>
    </font>
    <font>
      <u/>
      <sz val="10"/>
      <name val="Arial"/>
      <family val="2"/>
    </font>
    <font>
      <sz val="10"/>
      <name val="Univers 55"/>
    </font>
    <font>
      <b/>
      <u/>
      <sz val="10"/>
      <name val="Arial"/>
      <family val="2"/>
    </font>
    <font>
      <i/>
      <sz val="10"/>
      <name val="Arial"/>
      <family val="2"/>
    </font>
    <font>
      <i/>
      <u/>
      <sz val="10"/>
      <name val="Arial"/>
      <family val="2"/>
    </font>
    <font>
      <sz val="11"/>
      <color theme="1"/>
      <name val="Calibri"/>
      <family val="2"/>
      <scheme val="minor"/>
    </font>
    <font>
      <sz val="10"/>
      <color rgb="FFFF0000"/>
      <name val="Arial"/>
      <family val="2"/>
    </font>
    <font>
      <sz val="10"/>
      <color rgb="FF00B0F0"/>
      <name val="Arial"/>
      <family val="2"/>
    </font>
    <font>
      <sz val="10"/>
      <color rgb="FF0070C0"/>
      <name val="Arial"/>
      <family val="2"/>
    </font>
    <font>
      <u/>
      <sz val="10"/>
      <color rgb="FF0070C0"/>
      <name val="Arial"/>
      <family val="2"/>
    </font>
    <font>
      <sz val="10"/>
      <color theme="1"/>
      <name val="Arial"/>
      <family val="2"/>
    </font>
    <font>
      <u/>
      <sz val="10"/>
      <color theme="1"/>
      <name val="Arial"/>
      <family val="2"/>
    </font>
    <font>
      <u/>
      <sz val="11"/>
      <color theme="1"/>
      <name val="Calibri"/>
      <family val="2"/>
      <scheme val="minor"/>
    </font>
    <font>
      <sz val="10"/>
      <name val="Univers 55"/>
      <family val="2"/>
    </font>
    <font>
      <sz val="10"/>
      <color indexed="9"/>
      <name val="Arial"/>
      <family val="2"/>
    </font>
    <font>
      <sz val="10"/>
      <color theme="4" tint="-0.249977111117893"/>
      <name val="Arial"/>
      <family val="2"/>
    </font>
    <font>
      <sz val="11"/>
      <color rgb="FF0070C0"/>
      <name val="Calibri"/>
      <family val="2"/>
      <scheme val="minor"/>
    </font>
    <font>
      <sz val="11"/>
      <name val="Calibri"/>
      <family val="2"/>
      <scheme val="minor"/>
    </font>
    <font>
      <sz val="12"/>
      <name val="Arial"/>
      <family val="2"/>
    </font>
    <font>
      <sz val="9"/>
      <name val="Arial"/>
      <family val="2"/>
    </font>
    <font>
      <sz val="10"/>
      <color theme="8"/>
      <name val="Arial"/>
      <family val="2"/>
    </font>
    <font>
      <u/>
      <sz val="10"/>
      <color theme="4" tint="-0.249977111117893"/>
      <name val="Arial"/>
      <family val="2"/>
    </font>
    <font>
      <sz val="9"/>
      <color theme="4" tint="-0.249977111117893"/>
      <name val="Arial"/>
      <family val="2"/>
    </font>
    <font>
      <i/>
      <sz val="10"/>
      <color theme="4" tint="-0.249977111117893"/>
      <name val="Arial"/>
      <family val="2"/>
    </font>
  </fonts>
  <fills count="2">
    <fill>
      <patternFill patternType="none"/>
    </fill>
    <fill>
      <patternFill patternType="gray125"/>
    </fill>
  </fills>
  <borders count="21">
    <border>
      <left/>
      <right/>
      <top/>
      <bottom/>
      <diagonal/>
    </border>
    <border>
      <left/>
      <right/>
      <top/>
      <bottom style="medium">
        <color indexed="64"/>
      </bottom>
      <diagonal/>
    </border>
    <border>
      <left/>
      <right/>
      <top/>
      <bottom style="thin">
        <color indexed="64"/>
      </bottom>
      <diagonal/>
    </border>
    <border>
      <left/>
      <right/>
      <top style="thin">
        <color indexed="64"/>
      </top>
      <bottom/>
      <diagonal/>
    </border>
    <border>
      <left/>
      <right/>
      <top style="thin">
        <color indexed="8"/>
      </top>
      <bottom/>
      <diagonal/>
    </border>
    <border>
      <left/>
      <right/>
      <top style="thin">
        <color indexed="8"/>
      </top>
      <bottom style="thin">
        <color indexed="64"/>
      </bottom>
      <diagonal/>
    </border>
    <border>
      <left/>
      <right/>
      <top style="dotted">
        <color indexed="8"/>
      </top>
      <bottom/>
      <diagonal/>
    </border>
    <border>
      <left/>
      <right/>
      <top/>
      <bottom style="dotted">
        <color indexed="8"/>
      </bottom>
      <diagonal/>
    </border>
    <border>
      <left/>
      <right/>
      <top style="dotted">
        <color indexed="8"/>
      </top>
      <bottom style="dotted">
        <color indexed="8"/>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
    <xf numFmtId="0" fontId="0" fillId="0" borderId="0"/>
    <xf numFmtId="0" fontId="1" fillId="0" borderId="0"/>
    <xf numFmtId="0" fontId="4" fillId="0" borderId="0"/>
    <xf numFmtId="0" fontId="1" fillId="0" borderId="0"/>
    <xf numFmtId="9" fontId="8" fillId="0" borderId="0" applyFont="0" applyFill="0" applyBorder="0" applyAlignment="0" applyProtection="0"/>
    <xf numFmtId="9" fontId="1" fillId="0" borderId="0" applyFont="0" applyFill="0" applyBorder="0" applyAlignment="0" applyProtection="0"/>
    <xf numFmtId="43" fontId="8" fillId="0" borderId="0" applyFont="0" applyFill="0" applyBorder="0" applyAlignment="0" applyProtection="0"/>
    <xf numFmtId="0" fontId="8" fillId="0" borderId="0"/>
    <xf numFmtId="9" fontId="8" fillId="0" borderId="0" applyFont="0" applyFill="0" applyBorder="0" applyAlignment="0" applyProtection="0"/>
    <xf numFmtId="43" fontId="1" fillId="0" borderId="0" applyFont="0" applyFill="0" applyBorder="0" applyAlignment="0" applyProtection="0"/>
    <xf numFmtId="0" fontId="16" fillId="0" borderId="0"/>
  </cellStyleXfs>
  <cellXfs count="593">
    <xf numFmtId="0" fontId="0" fillId="0" borderId="0" xfId="0"/>
    <xf numFmtId="0" fontId="1" fillId="0" borderId="0" xfId="1" applyFont="1" applyFill="1" applyAlignment="1">
      <alignment horizontal="center"/>
    </xf>
    <xf numFmtId="164" fontId="9" fillId="0" borderId="0" xfId="1" applyNumberFormat="1" applyFont="1" applyFill="1" applyAlignment="1">
      <alignment horizontal="center"/>
    </xf>
    <xf numFmtId="0" fontId="1" fillId="0" borderId="0" xfId="1" applyFont="1" applyFill="1" applyAlignment="1">
      <alignment horizontal="right"/>
    </xf>
    <xf numFmtId="0" fontId="3" fillId="0" borderId="0" xfId="1" applyFont="1" applyFill="1" applyAlignment="1">
      <alignment horizontal="right"/>
    </xf>
    <xf numFmtId="3" fontId="1" fillId="0" borderId="0" xfId="1" applyNumberFormat="1" applyFont="1"/>
    <xf numFmtId="1" fontId="1" fillId="0" borderId="0" xfId="1" applyNumberFormat="1" applyFont="1"/>
    <xf numFmtId="3" fontId="1" fillId="0" borderId="0" xfId="1" applyNumberFormat="1" applyFont="1" applyAlignment="1">
      <alignment horizontal="center"/>
    </xf>
    <xf numFmtId="164" fontId="1" fillId="0" borderId="0" xfId="1" applyNumberFormat="1" applyFont="1" applyAlignment="1">
      <alignment horizontal="center"/>
    </xf>
    <xf numFmtId="0" fontId="1" fillId="0" borderId="0" xfId="1" applyFont="1" applyAlignment="1">
      <alignment horizontal="right" vertical="top"/>
    </xf>
    <xf numFmtId="0" fontId="1" fillId="0" borderId="0" xfId="0" applyFont="1"/>
    <xf numFmtId="0" fontId="3" fillId="0" borderId="0" xfId="1" applyFont="1" applyAlignment="1">
      <alignment horizontal="center"/>
    </xf>
    <xf numFmtId="0" fontId="1" fillId="0" borderId="0" xfId="1" applyFont="1" applyAlignment="1">
      <alignment horizontal="center"/>
    </xf>
    <xf numFmtId="165" fontId="1" fillId="0" borderId="0" xfId="1" applyNumberFormat="1" applyFont="1" applyAlignment="1">
      <alignment horizontal="center"/>
    </xf>
    <xf numFmtId="0" fontId="1" fillId="0" borderId="0" xfId="1" applyFont="1" applyAlignment="1">
      <alignment horizontal="left"/>
    </xf>
    <xf numFmtId="165" fontId="11" fillId="0" borderId="0" xfId="1" applyNumberFormat="1" applyFont="1" applyAlignment="1">
      <alignment horizontal="center"/>
    </xf>
    <xf numFmtId="0" fontId="11" fillId="0" borderId="0" xfId="1" applyFont="1"/>
    <xf numFmtId="0" fontId="1" fillId="0" borderId="0" xfId="1" applyFont="1" applyAlignment="1">
      <alignment horizontal="right"/>
    </xf>
    <xf numFmtId="0" fontId="5" fillId="0" borderId="0" xfId="1" applyFont="1" applyAlignment="1">
      <alignment horizontal="center"/>
    </xf>
    <xf numFmtId="0" fontId="1" fillId="0" borderId="0" xfId="1" applyFont="1" applyBorder="1" applyAlignment="1">
      <alignment horizontal="center"/>
    </xf>
    <xf numFmtId="0" fontId="3" fillId="0" borderId="0" xfId="1" applyFont="1" applyAlignment="1">
      <alignment horizontal="left"/>
    </xf>
    <xf numFmtId="165" fontId="1" fillId="0" borderId="0" xfId="1" applyNumberFormat="1" applyFont="1"/>
    <xf numFmtId="165" fontId="1" fillId="0" borderId="0" xfId="1" quotePrefix="1" applyNumberFormat="1" applyFont="1" applyAlignment="1">
      <alignment horizontal="center"/>
    </xf>
    <xf numFmtId="165" fontId="1" fillId="0" borderId="0" xfId="1" applyNumberFormat="1" applyFont="1" applyFill="1" applyAlignment="1">
      <alignment horizontal="center"/>
    </xf>
    <xf numFmtId="0" fontId="1" fillId="0" borderId="0" xfId="1" applyFont="1" applyFill="1"/>
    <xf numFmtId="0" fontId="3" fillId="0" borderId="0" xfId="1" applyFont="1" applyFill="1" applyAlignment="1">
      <alignment horizontal="left"/>
    </xf>
    <xf numFmtId="0" fontId="3" fillId="0" borderId="0" xfId="1" applyFont="1" applyFill="1" applyAlignment="1">
      <alignment horizontal="center"/>
    </xf>
    <xf numFmtId="0" fontId="1" fillId="0" borderId="0" xfId="1" quotePrefix="1" applyFont="1" applyFill="1" applyAlignment="1">
      <alignment horizontal="right" vertical="top"/>
    </xf>
    <xf numFmtId="165" fontId="11" fillId="0" borderId="0" xfId="1" applyNumberFormat="1" applyFont="1" applyFill="1" applyAlignment="1">
      <alignment horizontal="center"/>
    </xf>
    <xf numFmtId="0" fontId="1" fillId="0" borderId="0" xfId="1" applyFont="1" applyFill="1" applyBorder="1" applyAlignment="1">
      <alignment horizontal="left"/>
    </xf>
    <xf numFmtId="0" fontId="1" fillId="0" borderId="0" xfId="1" applyFont="1" applyFill="1" applyAlignment="1">
      <alignment horizontal="left"/>
    </xf>
    <xf numFmtId="0" fontId="1" fillId="0" borderId="0" xfId="1" applyFont="1" applyFill="1" applyAlignment="1">
      <alignment horizontal="right" vertical="top"/>
    </xf>
    <xf numFmtId="0" fontId="9" fillId="0" borderId="0" xfId="1" applyFont="1"/>
    <xf numFmtId="166" fontId="1" fillId="0" borderId="0" xfId="1" applyNumberFormat="1" applyFont="1"/>
    <xf numFmtId="164" fontId="1" fillId="0" borderId="0" xfId="1" applyNumberFormat="1" applyFont="1"/>
    <xf numFmtId="167" fontId="1" fillId="0" borderId="0" xfId="1" applyNumberFormat="1" applyFont="1"/>
    <xf numFmtId="168" fontId="1" fillId="0" borderId="0" xfId="1" applyNumberFormat="1" applyFont="1"/>
    <xf numFmtId="0" fontId="1" fillId="0" borderId="0" xfId="0" applyFont="1" applyAlignment="1">
      <alignment horizontal="centerContinuous"/>
    </xf>
    <xf numFmtId="0" fontId="3" fillId="0" borderId="0" xfId="0" applyFont="1" applyAlignment="1">
      <alignment horizontal="center"/>
    </xf>
    <xf numFmtId="0" fontId="1" fillId="0" borderId="0" xfId="0" quotePrefix="1" applyFont="1" applyAlignment="1">
      <alignment horizontal="center"/>
    </xf>
    <xf numFmtId="0" fontId="1" fillId="0" borderId="0" xfId="0" applyFont="1" applyAlignment="1">
      <alignment horizontal="center" wrapText="1"/>
    </xf>
    <xf numFmtId="1" fontId="1" fillId="0" borderId="0" xfId="0" applyNumberFormat="1" applyFont="1" applyFill="1" applyAlignment="1">
      <alignment horizontal="center"/>
    </xf>
    <xf numFmtId="164" fontId="1" fillId="0" borderId="0" xfId="0" applyNumberFormat="1" applyFont="1" applyFill="1" applyAlignment="1">
      <alignment horizontal="center"/>
    </xf>
    <xf numFmtId="164" fontId="6" fillId="0" borderId="0" xfId="0" applyNumberFormat="1" applyFont="1" applyAlignment="1">
      <alignment horizontal="center"/>
    </xf>
    <xf numFmtId="164" fontId="1" fillId="0" borderId="0" xfId="0" applyNumberFormat="1" applyFont="1" applyAlignment="1">
      <alignment horizontal="center"/>
    </xf>
    <xf numFmtId="0" fontId="1" fillId="0" borderId="0" xfId="0" applyFont="1" applyAlignment="1">
      <alignment horizontal="center" vertical="top"/>
    </xf>
    <xf numFmtId="164" fontId="1" fillId="0" borderId="0" xfId="0" applyNumberFormat="1" applyFont="1" applyFill="1" applyBorder="1" applyAlignment="1">
      <alignment horizontal="center"/>
    </xf>
    <xf numFmtId="164" fontId="1" fillId="0" borderId="1" xfId="0" applyNumberFormat="1" applyFont="1" applyFill="1" applyBorder="1" applyAlignment="1">
      <alignment horizontal="center"/>
    </xf>
    <xf numFmtId="164" fontId="1" fillId="0" borderId="0" xfId="0" applyNumberFormat="1" applyFont="1" applyBorder="1" applyAlignment="1">
      <alignment horizontal="center"/>
    </xf>
    <xf numFmtId="1" fontId="1" fillId="0" borderId="0" xfId="0" applyNumberFormat="1" applyFont="1" applyAlignment="1">
      <alignment horizontal="center"/>
    </xf>
    <xf numFmtId="164" fontId="1" fillId="0" borderId="0" xfId="0" applyNumberFormat="1" applyFont="1" applyAlignment="1">
      <alignment horizontal="right"/>
    </xf>
    <xf numFmtId="0" fontId="1" fillId="0" borderId="0" xfId="0" applyFont="1" applyAlignment="1">
      <alignment vertical="top"/>
    </xf>
    <xf numFmtId="0" fontId="1" fillId="0" borderId="0" xfId="0" applyFont="1" applyAlignment="1">
      <alignment horizontal="justify" vertical="justify"/>
    </xf>
    <xf numFmtId="164" fontId="1" fillId="0" borderId="2" xfId="0" applyNumberFormat="1" applyFont="1" applyFill="1" applyBorder="1" applyAlignment="1">
      <alignment horizontal="center"/>
    </xf>
    <xf numFmtId="0" fontId="1" fillId="0" borderId="0" xfId="0" applyFont="1" applyFill="1" applyAlignment="1">
      <alignment horizontal="centerContinuous"/>
    </xf>
    <xf numFmtId="0" fontId="1" fillId="0" borderId="0" xfId="0" applyFont="1" applyFill="1" applyAlignment="1">
      <alignment horizontal="center"/>
    </xf>
    <xf numFmtId="0" fontId="1" fillId="0" borderId="0" xfId="0" quotePrefix="1" applyFont="1" applyFill="1" applyAlignment="1">
      <alignment horizontal="center"/>
    </xf>
    <xf numFmtId="0" fontId="3" fillId="0" borderId="0" xfId="0" applyFont="1" applyFill="1" applyAlignment="1">
      <alignment horizontal="center"/>
    </xf>
    <xf numFmtId="0" fontId="1" fillId="0" borderId="0" xfId="0" applyFont="1" applyFill="1" applyAlignment="1">
      <alignment horizontal="center" vertical="top"/>
    </xf>
    <xf numFmtId="10" fontId="1" fillId="0" borderId="0" xfId="5" applyNumberFormat="1" applyFont="1" applyFill="1" applyAlignment="1">
      <alignment horizontal="right"/>
    </xf>
    <xf numFmtId="0" fontId="1" fillId="0" borderId="0" xfId="0" applyFont="1" applyFill="1"/>
    <xf numFmtId="164" fontId="1" fillId="0" borderId="0" xfId="0" quotePrefix="1" applyNumberFormat="1" applyFont="1" applyAlignment="1">
      <alignment horizontal="center"/>
    </xf>
    <xf numFmtId="164" fontId="3" fillId="0" borderId="0" xfId="0" applyNumberFormat="1" applyFont="1" applyAlignment="1">
      <alignment horizontal="center"/>
    </xf>
    <xf numFmtId="169" fontId="1" fillId="0" borderId="0" xfId="0" applyNumberFormat="1" applyFont="1" applyAlignment="1">
      <alignment horizontal="right"/>
    </xf>
    <xf numFmtId="169" fontId="1" fillId="0" borderId="0" xfId="0" applyNumberFormat="1" applyFont="1" applyAlignment="1">
      <alignment horizontal="center"/>
    </xf>
    <xf numFmtId="0" fontId="1" fillId="0" borderId="0" xfId="0" applyFont="1" applyAlignment="1">
      <alignment horizontal="left"/>
    </xf>
    <xf numFmtId="170" fontId="1" fillId="0" borderId="0" xfId="0" applyNumberFormat="1" applyFont="1"/>
    <xf numFmtId="0" fontId="1" fillId="0" borderId="0" xfId="0" applyFont="1" applyAlignment="1">
      <alignment horizontal="left" vertical="top"/>
    </xf>
    <xf numFmtId="0" fontId="11" fillId="0" borderId="0" xfId="0" applyFont="1" applyAlignment="1">
      <alignment horizontal="center"/>
    </xf>
    <xf numFmtId="0" fontId="1" fillId="0" borderId="0" xfId="0" applyFont="1" applyFill="1" applyAlignment="1"/>
    <xf numFmtId="164" fontId="1" fillId="0" borderId="0" xfId="0" applyNumberFormat="1" applyFont="1"/>
    <xf numFmtId="0" fontId="1" fillId="0" borderId="0" xfId="0" quotePrefix="1" applyFont="1" applyAlignment="1">
      <alignment horizontal="right"/>
    </xf>
    <xf numFmtId="0" fontId="1" fillId="0" borderId="0" xfId="0" applyFont="1" applyAlignment="1">
      <alignment horizontal="right"/>
    </xf>
    <xf numFmtId="170" fontId="1" fillId="0" borderId="0" xfId="0" applyNumberFormat="1" applyFont="1" applyAlignment="1">
      <alignment horizontal="right"/>
    </xf>
    <xf numFmtId="164" fontId="1" fillId="0" borderId="0" xfId="0" applyNumberFormat="1" applyFont="1" applyFill="1"/>
    <xf numFmtId="14" fontId="1" fillId="0" borderId="0" xfId="0" applyNumberFormat="1" applyFont="1" applyFill="1" applyAlignment="1">
      <alignment horizontal="center"/>
    </xf>
    <xf numFmtId="0" fontId="1" fillId="0" borderId="0" xfId="0" applyFont="1" applyFill="1" applyAlignment="1">
      <alignment horizontal="right" vertical="top"/>
    </xf>
    <xf numFmtId="0" fontId="1" fillId="0" borderId="0" xfId="0" quotePrefix="1" applyFont="1" applyFill="1" applyAlignment="1">
      <alignment horizontal="right" vertical="top"/>
    </xf>
    <xf numFmtId="170" fontId="1" fillId="0" borderId="0" xfId="0" applyNumberFormat="1" applyFont="1" applyAlignment="1">
      <alignment horizontal="center"/>
    </xf>
    <xf numFmtId="0" fontId="1" fillId="0" borderId="0" xfId="0" applyFont="1" applyBorder="1" applyAlignment="1">
      <alignment horizontal="center"/>
    </xf>
    <xf numFmtId="0" fontId="3" fillId="0" borderId="0" xfId="0" applyFont="1" applyBorder="1" applyAlignment="1">
      <alignment horizontal="center"/>
    </xf>
    <xf numFmtId="0" fontId="1" fillId="0" borderId="0" xfId="0" quotePrefix="1" applyFont="1" applyBorder="1"/>
    <xf numFmtId="0" fontId="1" fillId="0" borderId="0" xfId="0" applyFont="1" applyBorder="1" applyAlignment="1">
      <alignment horizontal="left"/>
    </xf>
    <xf numFmtId="0" fontId="1" fillId="0" borderId="0" xfId="0" applyFont="1" applyBorder="1" applyAlignment="1"/>
    <xf numFmtId="0" fontId="1" fillId="0" borderId="0" xfId="0" quotePrefix="1" applyFont="1" applyAlignment="1">
      <alignment horizontal="center" vertical="top" wrapText="1"/>
    </xf>
    <xf numFmtId="0" fontId="1" fillId="0" borderId="0" xfId="0" applyFont="1" applyAlignment="1">
      <alignment horizontal="center" vertical="center"/>
    </xf>
    <xf numFmtId="2" fontId="10" fillId="0" borderId="0" xfId="0" applyNumberFormat="1" applyFont="1" applyAlignment="1">
      <alignment horizontal="center" vertical="center"/>
    </xf>
    <xf numFmtId="0" fontId="3" fillId="0" borderId="0" xfId="0" applyFont="1"/>
    <xf numFmtId="169" fontId="3" fillId="0" borderId="0" xfId="0" applyNumberFormat="1" applyFont="1" applyAlignment="1">
      <alignment horizontal="center"/>
    </xf>
    <xf numFmtId="169" fontId="1" fillId="0" borderId="0" xfId="0" applyNumberFormat="1" applyFont="1"/>
    <xf numFmtId="2" fontId="1" fillId="0" borderId="0" xfId="0" applyNumberFormat="1" applyFont="1"/>
    <xf numFmtId="0" fontId="10" fillId="0" borderId="0" xfId="0" applyFont="1" applyAlignment="1">
      <alignment horizontal="center"/>
    </xf>
    <xf numFmtId="15" fontId="3" fillId="0" borderId="0" xfId="0" applyNumberFormat="1" applyFont="1" applyAlignment="1">
      <alignment horizontal="center"/>
    </xf>
    <xf numFmtId="164" fontId="1" fillId="0" borderId="0" xfId="0" applyNumberFormat="1" applyFont="1" applyAlignment="1">
      <alignment horizontal="center" vertical="center"/>
    </xf>
    <xf numFmtId="164" fontId="1" fillId="0" borderId="0" xfId="0" applyNumberFormat="1" applyFont="1" applyAlignment="1">
      <alignment vertical="center"/>
    </xf>
    <xf numFmtId="2" fontId="1" fillId="0" borderId="0" xfId="0" applyNumberFormat="1" applyFont="1" applyFill="1" applyAlignment="1"/>
    <xf numFmtId="3" fontId="1" fillId="0" borderId="0" xfId="0" applyNumberFormat="1" applyFont="1"/>
    <xf numFmtId="3" fontId="1" fillId="0" borderId="0" xfId="0" applyNumberFormat="1" applyFont="1" applyAlignment="1">
      <alignment horizontal="center"/>
    </xf>
    <xf numFmtId="170" fontId="1" fillId="0" borderId="0" xfId="0" quotePrefix="1" applyNumberFormat="1" applyFont="1" applyAlignment="1">
      <alignment horizontal="right"/>
    </xf>
    <xf numFmtId="170" fontId="1" fillId="0" borderId="0" xfId="0" applyNumberFormat="1" applyFont="1" applyFill="1"/>
    <xf numFmtId="0" fontId="3" fillId="0" borderId="0" xfId="0" applyFont="1" applyAlignment="1">
      <alignment horizontal="right"/>
    </xf>
    <xf numFmtId="0" fontId="1" fillId="0" borderId="2" xfId="0" applyFont="1" applyBorder="1"/>
    <xf numFmtId="3" fontId="1" fillId="0" borderId="2" xfId="0" applyNumberFormat="1" applyFont="1" applyBorder="1"/>
    <xf numFmtId="170" fontId="1" fillId="0" borderId="2" xfId="0" applyNumberFormat="1" applyFont="1" applyBorder="1"/>
    <xf numFmtId="0" fontId="1" fillId="0" borderId="0" xfId="3" applyFont="1"/>
    <xf numFmtId="0" fontId="1" fillId="0" borderId="0" xfId="3" quotePrefix="1" applyFont="1" applyAlignment="1">
      <alignment horizontal="center"/>
    </xf>
    <xf numFmtId="0" fontId="1" fillId="0" borderId="0" xfId="3" quotePrefix="1" applyFont="1" applyBorder="1" applyAlignment="1">
      <alignment horizontal="center"/>
    </xf>
    <xf numFmtId="0" fontId="1" fillId="0" borderId="0" xfId="3" applyFont="1" applyAlignment="1">
      <alignment horizontal="right"/>
    </xf>
    <xf numFmtId="0" fontId="3" fillId="0" borderId="0" xfId="3" applyFont="1" applyAlignment="1">
      <alignment horizontal="center"/>
    </xf>
    <xf numFmtId="3" fontId="1" fillId="0" borderId="0" xfId="3" applyNumberFormat="1" applyFont="1"/>
    <xf numFmtId="170" fontId="1" fillId="0" borderId="0" xfId="3" quotePrefix="1" applyNumberFormat="1" applyFont="1" applyAlignment="1">
      <alignment horizontal="right"/>
    </xf>
    <xf numFmtId="170" fontId="1" fillId="0" borderId="0" xfId="3" applyNumberFormat="1" applyFont="1"/>
    <xf numFmtId="3" fontId="1" fillId="0" borderId="0" xfId="3" applyNumberFormat="1" applyFont="1" applyBorder="1"/>
    <xf numFmtId="170" fontId="1" fillId="0" borderId="0" xfId="3" applyNumberFormat="1" applyFont="1" applyBorder="1"/>
    <xf numFmtId="0" fontId="1" fillId="0" borderId="0" xfId="3" applyFont="1" applyFill="1"/>
    <xf numFmtId="170" fontId="1" fillId="0" borderId="0" xfId="3" applyNumberFormat="1" applyFont="1" applyFill="1"/>
    <xf numFmtId="0" fontId="12" fillId="0" borderId="0" xfId="1" applyFont="1" applyFill="1" applyAlignment="1">
      <alignment horizontal="center"/>
    </xf>
    <xf numFmtId="0" fontId="1" fillId="0" borderId="0" xfId="0" applyFont="1" applyAlignment="1" applyProtection="1">
      <alignment horizontal="right"/>
      <protection locked="0" hidden="1"/>
    </xf>
    <xf numFmtId="0" fontId="1" fillId="0" borderId="0" xfId="0" applyFont="1" applyAlignment="1" applyProtection="1">
      <alignment horizontal="centerContinuous"/>
      <protection locked="0" hidden="1"/>
    </xf>
    <xf numFmtId="0" fontId="1" fillId="0" borderId="0" xfId="0" applyFont="1" applyAlignment="1" applyProtection="1">
      <protection locked="0" hidden="1"/>
    </xf>
    <xf numFmtId="0" fontId="3" fillId="0" borderId="0" xfId="0" applyFont="1" applyAlignment="1" applyProtection="1">
      <alignment horizontal="center"/>
      <protection locked="0" hidden="1"/>
    </xf>
    <xf numFmtId="164" fontId="1" fillId="0" borderId="0" xfId="0" quotePrefix="1" applyNumberFormat="1" applyFont="1" applyAlignment="1" applyProtection="1">
      <alignment horizontal="center"/>
      <protection locked="0" hidden="1"/>
    </xf>
    <xf numFmtId="0" fontId="1" fillId="0" borderId="0" xfId="0" applyFont="1" applyAlignment="1" applyProtection="1">
      <alignment horizontal="center"/>
      <protection locked="0" hidden="1"/>
    </xf>
    <xf numFmtId="0" fontId="1" fillId="0" borderId="0" xfId="0" quotePrefix="1" applyFont="1" applyAlignment="1" applyProtection="1">
      <alignment horizontal="right" vertical="top"/>
      <protection locked="0" hidden="1"/>
    </xf>
    <xf numFmtId="164" fontId="1" fillId="0" borderId="0" xfId="0" applyNumberFormat="1" applyFont="1" applyAlignment="1" applyProtection="1">
      <alignment horizontal="center" vertical="top"/>
      <protection locked="0" hidden="1"/>
    </xf>
    <xf numFmtId="0" fontId="1" fillId="0" borderId="0" xfId="0" applyFont="1" applyProtection="1">
      <protection locked="0" hidden="1"/>
    </xf>
    <xf numFmtId="0" fontId="1" fillId="0" borderId="0" xfId="0" quotePrefix="1" applyFont="1" applyAlignment="1" applyProtection="1">
      <alignment horizontal="right"/>
      <protection locked="0" hidden="1"/>
    </xf>
    <xf numFmtId="164" fontId="1" fillId="0" borderId="0" xfId="0" applyNumberFormat="1" applyFont="1" applyAlignment="1" applyProtection="1">
      <alignment horizontal="center"/>
      <protection locked="0" hidden="1"/>
    </xf>
    <xf numFmtId="164" fontId="1" fillId="0" borderId="0" xfId="0" applyNumberFormat="1" applyFont="1" applyAlignment="1" applyProtection="1">
      <alignment horizontal="center" vertical="top" wrapText="1"/>
      <protection locked="0" hidden="1"/>
    </xf>
    <xf numFmtId="8" fontId="1" fillId="0" borderId="0" xfId="0" applyNumberFormat="1" applyFont="1" applyAlignment="1" applyProtection="1">
      <alignment horizontal="center" vertical="top"/>
      <protection locked="0" hidden="1"/>
    </xf>
    <xf numFmtId="0" fontId="1" fillId="0" borderId="12" xfId="1" applyFont="1" applyBorder="1" applyAlignment="1">
      <alignment horizontal="center"/>
    </xf>
    <xf numFmtId="0" fontId="1" fillId="0" borderId="14" xfId="1" applyFont="1" applyBorder="1" applyAlignment="1">
      <alignment horizontal="center"/>
    </xf>
    <xf numFmtId="164" fontId="1" fillId="0" borderId="0" xfId="1" applyNumberFormat="1" applyFont="1" applyFill="1" applyAlignment="1">
      <alignment horizontal="center"/>
    </xf>
    <xf numFmtId="164" fontId="3" fillId="0" borderId="0" xfId="1" applyNumberFormat="1" applyFont="1" applyFill="1" applyAlignment="1">
      <alignment horizontal="center"/>
    </xf>
    <xf numFmtId="164" fontId="1" fillId="0" borderId="2" xfId="1" applyNumberFormat="1" applyFont="1" applyBorder="1" applyAlignment="1">
      <alignment horizontal="center"/>
    </xf>
    <xf numFmtId="3" fontId="11" fillId="0" borderId="0" xfId="1" applyNumberFormat="1" applyFont="1" applyBorder="1" applyAlignment="1">
      <alignment horizontal="center"/>
    </xf>
    <xf numFmtId="0" fontId="13" fillId="0" borderId="0" xfId="0" applyFont="1"/>
    <xf numFmtId="0" fontId="14" fillId="0" borderId="0" xfId="0" applyFont="1" applyBorder="1" applyAlignment="1">
      <alignment horizontal="center"/>
    </xf>
    <xf numFmtId="3" fontId="11" fillId="0" borderId="0" xfId="0" applyNumberFormat="1" applyFont="1" applyBorder="1" applyAlignment="1">
      <alignment horizontal="center"/>
    </xf>
    <xf numFmtId="0" fontId="13" fillId="0" borderId="0" xfId="0" applyFont="1" applyFill="1"/>
    <xf numFmtId="0" fontId="13" fillId="0" borderId="0" xfId="0" applyFont="1" applyBorder="1"/>
    <xf numFmtId="3" fontId="13" fillId="0" borderId="0" xfId="0" applyNumberFormat="1" applyFont="1" applyBorder="1"/>
    <xf numFmtId="164" fontId="1" fillId="0" borderId="0" xfId="0" applyNumberFormat="1" applyFont="1" applyFill="1" applyAlignment="1" applyProtection="1">
      <alignment horizontal="center"/>
      <protection locked="0" hidden="1"/>
    </xf>
    <xf numFmtId="0" fontId="3" fillId="0" borderId="10" xfId="0" applyFont="1" applyBorder="1" applyAlignment="1" applyProtection="1">
      <alignment horizontal="center"/>
      <protection locked="0" hidden="1"/>
    </xf>
    <xf numFmtId="0" fontId="3" fillId="0" borderId="11" xfId="0" applyFont="1" applyBorder="1" applyAlignment="1" applyProtection="1">
      <alignment horizontal="center"/>
      <protection locked="0" hidden="1"/>
    </xf>
    <xf numFmtId="164" fontId="13" fillId="0" borderId="0" xfId="0" applyNumberFormat="1" applyFont="1"/>
    <xf numFmtId="0" fontId="1" fillId="0" borderId="0" xfId="0" applyFont="1" applyFill="1" applyBorder="1" applyAlignment="1">
      <alignment horizontal="center"/>
    </xf>
    <xf numFmtId="0" fontId="14" fillId="0" borderId="11" xfId="0" applyFont="1" applyBorder="1" applyAlignment="1">
      <alignment horizontal="center"/>
    </xf>
    <xf numFmtId="170" fontId="13" fillId="0" borderId="13" xfId="4" applyNumberFormat="1" applyFont="1" applyBorder="1" applyAlignment="1">
      <alignment horizontal="center"/>
    </xf>
    <xf numFmtId="170" fontId="13" fillId="0" borderId="15" xfId="4" applyNumberFormat="1" applyFont="1" applyBorder="1" applyAlignment="1">
      <alignment horizontal="center"/>
    </xf>
    <xf numFmtId="1" fontId="1" fillId="0" borderId="0" xfId="1" applyNumberFormat="1" applyFont="1" applyFill="1" applyAlignment="1">
      <alignment horizontal="center"/>
    </xf>
    <xf numFmtId="0" fontId="2" fillId="0" borderId="0" xfId="1" applyFont="1" applyAlignment="1">
      <alignment horizontal="center" wrapText="1"/>
    </xf>
    <xf numFmtId="0" fontId="1" fillId="0" borderId="0" xfId="1" applyFont="1" applyAlignment="1"/>
    <xf numFmtId="0" fontId="1" fillId="0" borderId="0" xfId="1" applyFont="1" applyAlignment="1">
      <alignment vertical="top" wrapText="1"/>
    </xf>
    <xf numFmtId="0" fontId="1" fillId="0" borderId="0" xfId="1" applyFont="1"/>
    <xf numFmtId="0" fontId="2" fillId="0" borderId="0" xfId="0" applyFont="1" applyAlignment="1">
      <alignment horizontal="center"/>
    </xf>
    <xf numFmtId="0" fontId="1" fillId="0" borderId="0" xfId="0" applyFont="1" applyAlignment="1">
      <alignment vertical="top" wrapText="1"/>
    </xf>
    <xf numFmtId="0" fontId="1" fillId="0" borderId="0" xfId="0" applyFont="1" applyAlignment="1">
      <alignment horizontal="left" vertical="top" wrapText="1"/>
    </xf>
    <xf numFmtId="0" fontId="1" fillId="0" borderId="0" xfId="0" applyFont="1" applyAlignment="1">
      <alignment horizontal="center"/>
    </xf>
    <xf numFmtId="0" fontId="1" fillId="0" borderId="0" xfId="3" applyFont="1" applyAlignment="1">
      <alignment horizontal="center"/>
    </xf>
    <xf numFmtId="2" fontId="2" fillId="0" borderId="0" xfId="0" applyNumberFormat="1" applyFont="1" applyAlignment="1">
      <alignment horizontal="center"/>
    </xf>
    <xf numFmtId="0" fontId="1" fillId="0" borderId="12" xfId="0" applyFont="1" applyBorder="1" applyAlignment="1">
      <alignment horizontal="center"/>
    </xf>
    <xf numFmtId="0" fontId="1" fillId="0" borderId="14" xfId="0" applyFont="1" applyBorder="1" applyAlignment="1">
      <alignment horizontal="center"/>
    </xf>
    <xf numFmtId="164" fontId="14" fillId="0" borderId="10" xfId="0" applyNumberFormat="1" applyFont="1" applyBorder="1" applyAlignment="1">
      <alignment horizontal="center"/>
    </xf>
    <xf numFmtId="0" fontId="14" fillId="0" borderId="3" xfId="0" applyFont="1" applyBorder="1" applyAlignment="1">
      <alignment horizontal="center"/>
    </xf>
    <xf numFmtId="0" fontId="14" fillId="0" borderId="0" xfId="0" applyFont="1"/>
    <xf numFmtId="0" fontId="13" fillId="0" borderId="0" xfId="0" applyFont="1" applyAlignment="1">
      <alignment horizontal="left"/>
    </xf>
    <xf numFmtId="165" fontId="13" fillId="0" borderId="0" xfId="0" applyNumberFormat="1" applyFont="1"/>
    <xf numFmtId="0" fontId="13" fillId="0" borderId="0" xfId="0" applyFont="1" applyAlignment="1">
      <alignment vertical="top"/>
    </xf>
    <xf numFmtId="3" fontId="13" fillId="0" borderId="0" xfId="0" applyNumberFormat="1" applyFont="1"/>
    <xf numFmtId="170" fontId="1" fillId="0" borderId="0" xfId="4" applyNumberFormat="1" applyFont="1" applyBorder="1" applyAlignment="1">
      <alignment horizontal="center"/>
    </xf>
    <xf numFmtId="0" fontId="13" fillId="0" borderId="0" xfId="0" applyFont="1" applyBorder="1" applyAlignment="1"/>
    <xf numFmtId="0" fontId="3" fillId="0" borderId="10" xfId="0" quotePrefix="1" applyFont="1" applyBorder="1" applyAlignment="1">
      <alignment horizontal="center"/>
    </xf>
    <xf numFmtId="0" fontId="3" fillId="0" borderId="3" xfId="0" quotePrefix="1" applyFont="1" applyBorder="1" applyAlignment="1">
      <alignment horizontal="center" wrapText="1"/>
    </xf>
    <xf numFmtId="0" fontId="1" fillId="0" borderId="3" xfId="0" applyFont="1" applyBorder="1"/>
    <xf numFmtId="0" fontId="3" fillId="0" borderId="11" xfId="0" quotePrefix="1" applyFont="1" applyBorder="1" applyAlignment="1">
      <alignment horizontal="center" wrapText="1"/>
    </xf>
    <xf numFmtId="170" fontId="1" fillId="0" borderId="13" xfId="4" applyNumberFormat="1" applyFont="1" applyBorder="1" applyAlignment="1">
      <alignment horizontal="center"/>
    </xf>
    <xf numFmtId="0" fontId="3" fillId="0" borderId="14" xfId="0" quotePrefix="1" applyFont="1" applyBorder="1" applyAlignment="1">
      <alignment horizontal="center" wrapText="1"/>
    </xf>
    <xf numFmtId="0" fontId="6" fillId="0" borderId="10" xfId="0" quotePrefix="1" applyFont="1" applyBorder="1" applyAlignment="1">
      <alignment horizontal="center"/>
    </xf>
    <xf numFmtId="164" fontId="6" fillId="0" borderId="11" xfId="0" quotePrefix="1" applyNumberFormat="1" applyFont="1" applyBorder="1" applyAlignment="1">
      <alignment horizontal="center"/>
    </xf>
    <xf numFmtId="0" fontId="6" fillId="0" borderId="12" xfId="0" applyFont="1" applyBorder="1" applyAlignment="1">
      <alignment horizontal="center"/>
    </xf>
    <xf numFmtId="164" fontId="6" fillId="0" borderId="13" xfId="0" applyNumberFormat="1" applyFont="1" applyBorder="1" applyAlignment="1">
      <alignment horizontal="center"/>
    </xf>
    <xf numFmtId="0" fontId="6" fillId="0" borderId="12" xfId="0" applyFont="1" applyFill="1" applyBorder="1" applyAlignment="1">
      <alignment horizontal="center"/>
    </xf>
    <xf numFmtId="0" fontId="6" fillId="0" borderId="13" xfId="0" applyFont="1" applyFill="1" applyBorder="1" applyAlignment="1">
      <alignment horizontal="center"/>
    </xf>
    <xf numFmtId="0" fontId="7" fillId="0" borderId="12" xfId="0" applyFont="1" applyBorder="1" applyAlignment="1">
      <alignment horizontal="center"/>
    </xf>
    <xf numFmtId="164" fontId="7" fillId="0" borderId="13" xfId="0" applyNumberFormat="1" applyFont="1" applyBorder="1" applyAlignment="1">
      <alignment horizontal="center"/>
    </xf>
    <xf numFmtId="169" fontId="1" fillId="0" borderId="12" xfId="0" applyNumberFormat="1" applyFont="1" applyBorder="1" applyAlignment="1">
      <alignment horizontal="center"/>
    </xf>
    <xf numFmtId="164" fontId="1" fillId="0" borderId="13" xfId="0" applyNumberFormat="1" applyFont="1" applyBorder="1" applyAlignment="1">
      <alignment horizontal="center"/>
    </xf>
    <xf numFmtId="169" fontId="1" fillId="0" borderId="14" xfId="0" applyNumberFormat="1" applyFont="1" applyBorder="1" applyAlignment="1">
      <alignment horizontal="center"/>
    </xf>
    <xf numFmtId="0" fontId="2" fillId="0" borderId="0" xfId="1" applyFont="1" applyAlignment="1">
      <alignment horizontal="center" wrapText="1"/>
    </xf>
    <xf numFmtId="0" fontId="13" fillId="0" borderId="0" xfId="0" applyFont="1" applyAlignment="1">
      <alignment vertical="top"/>
    </xf>
    <xf numFmtId="0" fontId="1" fillId="0" borderId="0" xfId="1" applyFont="1"/>
    <xf numFmtId="166" fontId="1" fillId="0" borderId="0" xfId="1" applyNumberFormat="1" applyFont="1" applyFill="1" applyAlignment="1">
      <alignment horizontal="center"/>
    </xf>
    <xf numFmtId="175" fontId="1" fillId="0" borderId="0" xfId="1" applyNumberFormat="1" applyFont="1" applyFill="1" applyAlignment="1">
      <alignment horizontal="center"/>
    </xf>
    <xf numFmtId="175" fontId="1" fillId="0" borderId="0" xfId="1" applyNumberFormat="1" applyFont="1" applyAlignment="1">
      <alignment horizontal="center"/>
    </xf>
    <xf numFmtId="164" fontId="11" fillId="0" borderId="0" xfId="0" applyNumberFormat="1" applyFont="1" applyFill="1" applyBorder="1"/>
    <xf numFmtId="0" fontId="13" fillId="0" borderId="0" xfId="0" applyFont="1" applyAlignment="1">
      <alignment wrapText="1"/>
    </xf>
    <xf numFmtId="0" fontId="1" fillId="0" borderId="0" xfId="1" applyFont="1"/>
    <xf numFmtId="0" fontId="1" fillId="0" borderId="0" xfId="0" applyFont="1" applyAlignment="1">
      <alignment horizontal="center"/>
    </xf>
    <xf numFmtId="0" fontId="13" fillId="0" borderId="0" xfId="0" applyFont="1" applyAlignment="1">
      <alignment horizontal="center"/>
    </xf>
    <xf numFmtId="0" fontId="2" fillId="0" borderId="0" xfId="0" applyFont="1" applyAlignment="1">
      <alignment horizontal="center"/>
    </xf>
    <xf numFmtId="165" fontId="13" fillId="0" borderId="0" xfId="0" applyNumberFormat="1" applyFont="1" applyAlignment="1">
      <alignment horizontal="center"/>
    </xf>
    <xf numFmtId="165" fontId="14" fillId="0" borderId="0" xfId="0" applyNumberFormat="1" applyFont="1" applyAlignment="1">
      <alignment horizontal="center"/>
    </xf>
    <xf numFmtId="0" fontId="14" fillId="0" borderId="0" xfId="0" applyFont="1" applyAlignment="1">
      <alignment horizontal="center"/>
    </xf>
    <xf numFmtId="0" fontId="13" fillId="0" borderId="0" xfId="0" applyFont="1" applyFill="1" applyAlignment="1"/>
    <xf numFmtId="0" fontId="13" fillId="0" borderId="0" xfId="0" applyFont="1" applyFill="1" applyBorder="1" applyAlignment="1"/>
    <xf numFmtId="164" fontId="1" fillId="0" borderId="0" xfId="0" applyNumberFormat="1" applyFont="1" applyBorder="1" applyAlignment="1">
      <alignment horizontal="right"/>
    </xf>
    <xf numFmtId="0" fontId="3" fillId="0" borderId="0" xfId="0" applyFont="1" applyFill="1" applyAlignment="1">
      <alignment horizontal="right"/>
    </xf>
    <xf numFmtId="176" fontId="1" fillId="0" borderId="0" xfId="6" applyNumberFormat="1" applyFont="1" applyFill="1" applyAlignment="1">
      <alignment horizontal="distributed"/>
    </xf>
    <xf numFmtId="3" fontId="1" fillId="0" borderId="0" xfId="0" applyNumberFormat="1" applyFont="1" applyAlignment="1">
      <alignment horizontal="right"/>
    </xf>
    <xf numFmtId="170" fontId="1" fillId="0" borderId="0" xfId="5" applyNumberFormat="1" applyFont="1"/>
    <xf numFmtId="3" fontId="1" fillId="0" borderId="0" xfId="5" applyNumberFormat="1" applyFont="1"/>
    <xf numFmtId="0" fontId="1" fillId="0" borderId="0" xfId="0" applyFont="1" applyAlignment="1">
      <alignment horizontal="right" vertical="top"/>
    </xf>
    <xf numFmtId="165" fontId="1" fillId="0" borderId="0" xfId="0" applyNumberFormat="1" applyFont="1"/>
    <xf numFmtId="0" fontId="17" fillId="0" borderId="0" xfId="0" applyFont="1"/>
    <xf numFmtId="10" fontId="1" fillId="0" borderId="0" xfId="5" applyNumberFormat="1" applyFont="1"/>
    <xf numFmtId="165" fontId="1" fillId="0" borderId="0" xfId="5" applyNumberFormat="1" applyFont="1"/>
    <xf numFmtId="165" fontId="1" fillId="0" borderId="0" xfId="0" applyNumberFormat="1" applyFont="1" applyBorder="1" applyAlignment="1">
      <alignment horizontal="center"/>
    </xf>
    <xf numFmtId="3" fontId="1" fillId="0" borderId="0" xfId="0" applyNumberFormat="1" applyFont="1" applyFill="1" applyBorder="1"/>
    <xf numFmtId="0" fontId="1" fillId="0" borderId="0" xfId="0" quotePrefix="1" applyFont="1" applyAlignment="1">
      <alignment horizontal="right" vertical="top"/>
    </xf>
    <xf numFmtId="0" fontId="5" fillId="0" borderId="0" xfId="1" applyFont="1" applyFill="1" applyAlignment="1">
      <alignment horizontal="center"/>
    </xf>
    <xf numFmtId="0" fontId="3" fillId="0" borderId="3" xfId="0" applyFont="1" applyBorder="1" applyAlignment="1" applyProtection="1">
      <alignment horizontal="center"/>
      <protection locked="0" hidden="1"/>
    </xf>
    <xf numFmtId="3" fontId="1" fillId="0" borderId="0" xfId="1" applyNumberFormat="1" applyFont="1" applyFill="1" applyAlignment="1"/>
    <xf numFmtId="3" fontId="1" fillId="0" borderId="0" xfId="1" applyNumberFormat="1" applyFont="1" applyAlignment="1"/>
    <xf numFmtId="3" fontId="1" fillId="0" borderId="2" xfId="1" applyNumberFormat="1" applyFont="1" applyBorder="1" applyAlignment="1"/>
    <xf numFmtId="170" fontId="18" fillId="0" borderId="0" xfId="0" applyNumberFormat="1" applyFont="1" applyBorder="1" applyAlignment="1">
      <alignment horizontal="center"/>
    </xf>
    <xf numFmtId="3" fontId="1" fillId="0" borderId="0" xfId="0" applyNumberFormat="1" applyFont="1" applyBorder="1" applyAlignment="1">
      <alignment horizontal="center"/>
    </xf>
    <xf numFmtId="170" fontId="1" fillId="0" borderId="0" xfId="4" applyNumberFormat="1" applyFont="1" applyFill="1" applyBorder="1" applyAlignment="1">
      <alignment horizontal="center" vertical="center"/>
    </xf>
    <xf numFmtId="0" fontId="0" fillId="0" borderId="0" xfId="0" applyAlignment="1"/>
    <xf numFmtId="0" fontId="1" fillId="0" borderId="0" xfId="0" applyFont="1" applyAlignment="1"/>
    <xf numFmtId="0" fontId="1" fillId="0" borderId="0" xfId="1" applyFont="1" applyAlignment="1"/>
    <xf numFmtId="0" fontId="13" fillId="0" borderId="0" xfId="0" applyFont="1" applyAlignment="1"/>
    <xf numFmtId="0" fontId="1" fillId="0" borderId="0" xfId="1" applyFont="1" applyFill="1" applyAlignment="1">
      <alignment horizontal="left" vertical="top"/>
    </xf>
    <xf numFmtId="0" fontId="19" fillId="0" borderId="0" xfId="0" applyFont="1"/>
    <xf numFmtId="0" fontId="1" fillId="0" borderId="0" xfId="0" applyFont="1" applyAlignment="1">
      <alignment horizontal="center"/>
    </xf>
    <xf numFmtId="164" fontId="1" fillId="0" borderId="0" xfId="0" applyNumberFormat="1" applyFont="1" applyAlignment="1">
      <alignment horizontal="center" vertical="top" wrapText="1"/>
    </xf>
    <xf numFmtId="3" fontId="1" fillId="0" borderId="0" xfId="5" applyNumberFormat="1" applyFont="1" applyFill="1"/>
    <xf numFmtId="0" fontId="2" fillId="0" borderId="0" xfId="1" applyFont="1" applyAlignment="1">
      <alignment horizontal="center" wrapText="1"/>
    </xf>
    <xf numFmtId="0" fontId="1" fillId="0" borderId="0" xfId="0" applyFont="1"/>
    <xf numFmtId="0" fontId="1" fillId="0" borderId="0" xfId="1" applyFont="1"/>
    <xf numFmtId="0" fontId="2" fillId="0" borderId="0" xfId="1" applyFont="1" applyAlignment="1">
      <alignment horizontal="center" wrapText="1"/>
    </xf>
    <xf numFmtId="0" fontId="1" fillId="0" borderId="0" xfId="1" applyFont="1" applyAlignment="1">
      <alignment vertical="top"/>
    </xf>
    <xf numFmtId="0" fontId="1" fillId="0" borderId="0" xfId="0" applyFont="1" applyAlignment="1">
      <alignment horizontal="center"/>
    </xf>
    <xf numFmtId="14" fontId="1" fillId="0" borderId="0" xfId="0" applyNumberFormat="1" applyFont="1" applyAlignment="1">
      <alignment horizontal="center"/>
    </xf>
    <xf numFmtId="0" fontId="13" fillId="0" borderId="0" xfId="0" applyFont="1" applyAlignment="1">
      <alignment horizontal="right"/>
    </xf>
    <xf numFmtId="15" fontId="1" fillId="0" borderId="0" xfId="0" quotePrefix="1" applyNumberFormat="1" applyFont="1" applyAlignment="1">
      <alignment horizontal="center"/>
    </xf>
    <xf numFmtId="14" fontId="1" fillId="0" borderId="0" xfId="0" quotePrefix="1" applyNumberFormat="1" applyFont="1" applyAlignment="1">
      <alignment horizontal="center"/>
    </xf>
    <xf numFmtId="170" fontId="1" fillId="0" borderId="0" xfId="5" applyNumberFormat="1" applyFont="1" applyAlignment="1">
      <alignment horizontal="center" vertical="top" wrapText="1"/>
    </xf>
    <xf numFmtId="0" fontId="2" fillId="0" borderId="0" xfId="1" applyFont="1" applyAlignment="1">
      <alignment horizontal="center" wrapText="1"/>
    </xf>
    <xf numFmtId="0" fontId="13" fillId="0" borderId="0" xfId="0" applyFont="1" applyAlignment="1"/>
    <xf numFmtId="0" fontId="1" fillId="0" borderId="0" xfId="1" applyFont="1" applyFill="1" applyAlignment="1">
      <alignment vertical="top" wrapText="1"/>
    </xf>
    <xf numFmtId="0" fontId="1" fillId="0" borderId="0" xfId="1" applyFont="1" applyFill="1" applyBorder="1" applyAlignment="1">
      <alignment horizontal="center"/>
    </xf>
    <xf numFmtId="0" fontId="1" fillId="0" borderId="0" xfId="1" applyFont="1" applyFill="1" applyAlignment="1">
      <alignment vertical="justify"/>
    </xf>
    <xf numFmtId="0" fontId="1" fillId="0" borderId="0" xfId="0" applyFont="1"/>
    <xf numFmtId="0" fontId="1" fillId="0" borderId="0" xfId="0" applyFont="1" applyAlignment="1">
      <alignment wrapText="1"/>
    </xf>
    <xf numFmtId="0" fontId="1" fillId="0" borderId="0" xfId="1" applyFont="1"/>
    <xf numFmtId="0" fontId="2" fillId="0" borderId="0" xfId="1" applyFont="1" applyAlignment="1">
      <alignment horizontal="center"/>
    </xf>
    <xf numFmtId="3" fontId="1" fillId="0" borderId="0" xfId="1" applyNumberFormat="1" applyFont="1" applyBorder="1" applyAlignment="1"/>
    <xf numFmtId="164" fontId="1" fillId="0" borderId="0" xfId="1" applyNumberFormat="1" applyFont="1" applyBorder="1" applyAlignment="1">
      <alignment horizontal="center"/>
    </xf>
    <xf numFmtId="1" fontId="1" fillId="0" borderId="2" xfId="1" applyNumberFormat="1" applyFont="1" applyFill="1" applyBorder="1" applyAlignment="1">
      <alignment horizontal="center"/>
    </xf>
    <xf numFmtId="0" fontId="13" fillId="0" borderId="0" xfId="0" applyFont="1" applyFill="1" applyAlignment="1">
      <alignment horizontal="right"/>
    </xf>
    <xf numFmtId="0" fontId="13" fillId="0" borderId="0" xfId="0" applyFont="1" applyFill="1" applyBorder="1"/>
    <xf numFmtId="0" fontId="14" fillId="0" borderId="0" xfId="0" applyFont="1" applyFill="1" applyBorder="1" applyAlignment="1">
      <alignment horizontal="center"/>
    </xf>
    <xf numFmtId="165" fontId="13" fillId="0" borderId="0" xfId="0" applyNumberFormat="1" applyFont="1" applyFill="1" applyBorder="1"/>
    <xf numFmtId="0" fontId="0" fillId="0" borderId="0" xfId="0" applyFill="1" applyBorder="1" applyAlignment="1"/>
    <xf numFmtId="0" fontId="1" fillId="0" borderId="12" xfId="0" applyFont="1" applyBorder="1"/>
    <xf numFmtId="0" fontId="20" fillId="0" borderId="0" xfId="0" applyFont="1" applyAlignment="1">
      <alignment vertical="justify"/>
    </xf>
    <xf numFmtId="0" fontId="20" fillId="0" borderId="0" xfId="0" applyFont="1" applyAlignment="1"/>
    <xf numFmtId="0" fontId="1" fillId="0" borderId="0" xfId="0" applyFont="1" applyFill="1" applyBorder="1" applyAlignment="1"/>
    <xf numFmtId="0" fontId="3" fillId="0" borderId="0" xfId="0" applyFont="1"/>
    <xf numFmtId="0" fontId="1" fillId="0" borderId="0" xfId="0" applyFont="1"/>
    <xf numFmtId="0" fontId="1" fillId="0" borderId="0" xfId="0" applyFont="1" applyAlignment="1">
      <alignment wrapText="1"/>
    </xf>
    <xf numFmtId="0" fontId="2" fillId="0" borderId="0" xfId="0" applyFont="1" applyAlignment="1">
      <alignment horizontal="center"/>
    </xf>
    <xf numFmtId="0" fontId="1" fillId="0" borderId="2" xfId="0" applyFont="1" applyBorder="1" applyAlignment="1">
      <alignment horizontal="center"/>
    </xf>
    <xf numFmtId="0" fontId="1" fillId="0" borderId="0" xfId="0" applyFont="1" applyAlignment="1">
      <alignment horizontal="center"/>
    </xf>
    <xf numFmtId="164" fontId="2" fillId="0" borderId="0" xfId="0" applyNumberFormat="1" applyFont="1" applyAlignment="1">
      <alignment horizontal="center"/>
    </xf>
    <xf numFmtId="0" fontId="1" fillId="0" borderId="0" xfId="0" applyFont="1" applyAlignment="1">
      <alignment horizontal="left" vertical="top" wrapText="1"/>
    </xf>
    <xf numFmtId="0" fontId="1" fillId="0" borderId="0" xfId="0" applyFont="1" applyBorder="1"/>
    <xf numFmtId="2" fontId="1" fillId="0" borderId="0" xfId="0" applyNumberFormat="1" applyFont="1" applyFill="1" applyAlignment="1">
      <alignment wrapText="1"/>
    </xf>
    <xf numFmtId="0" fontId="1" fillId="0" borderId="0" xfId="0" applyFont="1" applyAlignment="1">
      <alignment vertical="top" wrapText="1"/>
    </xf>
    <xf numFmtId="0" fontId="3" fillId="0" borderId="0" xfId="0" applyFont="1"/>
    <xf numFmtId="0" fontId="2" fillId="0" borderId="0" xfId="0" applyFont="1" applyAlignment="1">
      <alignment horizontal="center"/>
    </xf>
    <xf numFmtId="0" fontId="0" fillId="0" borderId="0" xfId="0" applyAlignment="1">
      <alignment wrapText="1"/>
    </xf>
    <xf numFmtId="0" fontId="1" fillId="0" borderId="0" xfId="0" applyFont="1"/>
    <xf numFmtId="0" fontId="1" fillId="0" borderId="2" xfId="0" applyFont="1" applyBorder="1" applyAlignment="1">
      <alignment horizontal="center"/>
    </xf>
    <xf numFmtId="0" fontId="1" fillId="0" borderId="0" xfId="0" applyFont="1" applyAlignment="1">
      <alignment horizontal="center"/>
    </xf>
    <xf numFmtId="0" fontId="1" fillId="0" borderId="0" xfId="0" applyFont="1" applyBorder="1"/>
    <xf numFmtId="0" fontId="0" fillId="0" borderId="0" xfId="0" applyBorder="1"/>
    <xf numFmtId="0" fontId="1" fillId="0" borderId="13" xfId="0" applyFont="1" applyBorder="1"/>
    <xf numFmtId="169" fontId="1" fillId="0" borderId="0" xfId="0" applyNumberFormat="1" applyFont="1" applyBorder="1" applyAlignment="1">
      <alignment horizontal="center"/>
    </xf>
    <xf numFmtId="170" fontId="1" fillId="0" borderId="2" xfId="4" applyNumberFormat="1" applyFont="1" applyBorder="1" applyAlignment="1">
      <alignment horizontal="center"/>
    </xf>
    <xf numFmtId="0" fontId="1" fillId="0" borderId="15" xfId="0" applyFont="1" applyBorder="1"/>
    <xf numFmtId="0" fontId="3" fillId="0" borderId="0" xfId="0" quotePrefix="1" applyFont="1" applyBorder="1" applyAlignment="1">
      <alignment horizontal="center"/>
    </xf>
    <xf numFmtId="170" fontId="1" fillId="0" borderId="0" xfId="4" applyNumberFormat="1" applyFont="1" applyBorder="1"/>
    <xf numFmtId="170" fontId="1" fillId="0" borderId="0" xfId="4" applyNumberFormat="1" applyFont="1" applyAlignment="1">
      <alignment horizontal="center"/>
    </xf>
    <xf numFmtId="177" fontId="1" fillId="0" borderId="0" xfId="0" applyNumberFormat="1" applyFont="1"/>
    <xf numFmtId="10" fontId="1" fillId="0" borderId="0" xfId="4" applyNumberFormat="1" applyFont="1" applyAlignment="1">
      <alignment horizontal="center"/>
    </xf>
    <xf numFmtId="0" fontId="9" fillId="0" borderId="0" xfId="0" applyFont="1"/>
    <xf numFmtId="0" fontId="2" fillId="0" borderId="0" xfId="0" applyNumberFormat="1" applyFont="1" applyAlignment="1">
      <alignment horizontal="centerContinuous"/>
    </xf>
    <xf numFmtId="0" fontId="21" fillId="0" borderId="0" xfId="0" applyFont="1" applyBorder="1" applyAlignment="1">
      <alignment horizontal="centerContinuous"/>
    </xf>
    <xf numFmtId="0" fontId="1" fillId="0" borderId="0" xfId="0" applyNumberFormat="1" applyFont="1" applyAlignment="1">
      <alignment horizontal="centerContinuous"/>
    </xf>
    <xf numFmtId="0" fontId="1" fillId="0" borderId="0" xfId="0" applyNumberFormat="1" applyFont="1" applyAlignment="1"/>
    <xf numFmtId="0" fontId="1" fillId="0" borderId="4" xfId="0" applyNumberFormat="1" applyFont="1" applyBorder="1" applyAlignment="1">
      <alignment horizontal="centerContinuous"/>
    </xf>
    <xf numFmtId="0" fontId="1" fillId="0" borderId="4" xfId="0" applyNumberFormat="1" applyFont="1" applyBorder="1" applyAlignment="1">
      <alignment horizontal="center"/>
    </xf>
    <xf numFmtId="0" fontId="1" fillId="0" borderId="0" xfId="0" applyNumberFormat="1" applyFont="1" applyAlignment="1">
      <alignment horizontal="center"/>
    </xf>
    <xf numFmtId="0" fontId="1" fillId="0" borderId="2" xfId="0" applyNumberFormat="1" applyFont="1" applyBorder="1" applyAlignment="1">
      <alignment horizontal="center"/>
    </xf>
    <xf numFmtId="0" fontId="1" fillId="0" borderId="5" xfId="0" applyNumberFormat="1" applyFont="1" applyBorder="1" applyAlignment="1">
      <alignment horizontal="center"/>
    </xf>
    <xf numFmtId="0" fontId="22" fillId="0" borderId="2" xfId="0" applyNumberFormat="1" applyFont="1" applyBorder="1" applyAlignment="1">
      <alignment horizontal="center"/>
    </xf>
    <xf numFmtId="0" fontId="1" fillId="0" borderId="0" xfId="0" applyNumberFormat="1" applyFont="1" applyBorder="1" applyAlignment="1">
      <alignment horizontal="center"/>
    </xf>
    <xf numFmtId="0" fontId="1" fillId="0" borderId="6" xfId="0" applyNumberFormat="1" applyFont="1" applyBorder="1" applyAlignment="1">
      <alignment horizontal="center"/>
    </xf>
    <xf numFmtId="0" fontId="1" fillId="0" borderId="7" xfId="0" applyNumberFormat="1" applyFont="1" applyBorder="1" applyAlignment="1">
      <alignment horizontal="center"/>
    </xf>
    <xf numFmtId="0" fontId="1" fillId="0" borderId="8" xfId="0" applyNumberFormat="1" applyFont="1" applyBorder="1" applyAlignment="1">
      <alignment horizontal="center"/>
    </xf>
    <xf numFmtId="164" fontId="1" fillId="0" borderId="0" xfId="0" applyNumberFormat="1" applyFont="1" applyAlignment="1"/>
    <xf numFmtId="0" fontId="2" fillId="0" borderId="0" xfId="0" applyNumberFormat="1" applyFont="1" applyAlignment="1"/>
    <xf numFmtId="164" fontId="6" fillId="0" borderId="0" xfId="0" applyNumberFormat="1" applyFont="1" applyAlignment="1">
      <alignment horizontal="right"/>
    </xf>
    <xf numFmtId="164" fontId="1" fillId="0" borderId="2" xfId="0" applyNumberFormat="1" applyFont="1" applyFill="1" applyBorder="1"/>
    <xf numFmtId="0" fontId="1" fillId="0" borderId="0" xfId="0" applyFont="1" applyAlignment="1">
      <alignment horizontal="right" vertical="center" readingOrder="1"/>
    </xf>
    <xf numFmtId="0" fontId="1" fillId="0" borderId="0" xfId="0" applyFont="1"/>
    <xf numFmtId="0" fontId="1" fillId="0" borderId="0" xfId="1" applyFont="1"/>
    <xf numFmtId="0" fontId="1" fillId="0" borderId="0" xfId="0" applyFont="1" applyAlignment="1">
      <alignment horizontal="center"/>
    </xf>
    <xf numFmtId="164" fontId="1" fillId="0" borderId="0" xfId="0" applyNumberFormat="1" applyFont="1" applyFill="1" applyBorder="1"/>
    <xf numFmtId="164" fontId="1" fillId="0" borderId="13" xfId="0" applyNumberFormat="1" applyFont="1" applyFill="1" applyBorder="1"/>
    <xf numFmtId="164" fontId="1" fillId="0" borderId="15" xfId="0" applyNumberFormat="1" applyFont="1" applyFill="1" applyBorder="1"/>
    <xf numFmtId="3" fontId="1" fillId="0" borderId="0" xfId="5" applyNumberFormat="1" applyFont="1" applyFill="1" applyBorder="1"/>
    <xf numFmtId="0" fontId="3" fillId="0" borderId="0" xfId="0" applyFont="1" applyBorder="1" applyAlignment="1"/>
    <xf numFmtId="3" fontId="11" fillId="0" borderId="0" xfId="0" applyNumberFormat="1" applyFont="1" applyFill="1" applyBorder="1"/>
    <xf numFmtId="0" fontId="1" fillId="0" borderId="0" xfId="0" applyFont="1" applyFill="1" applyBorder="1"/>
    <xf numFmtId="165" fontId="1" fillId="0" borderId="0" xfId="0" applyNumberFormat="1" applyFont="1" applyBorder="1"/>
    <xf numFmtId="0" fontId="1" fillId="0" borderId="0" xfId="0" applyFont="1" applyFill="1" applyBorder="1" applyAlignment="1">
      <alignment vertical="top" wrapText="1"/>
    </xf>
    <xf numFmtId="0" fontId="0" fillId="0" borderId="0" xfId="0" applyFill="1" applyBorder="1"/>
    <xf numFmtId="165" fontId="1" fillId="0" borderId="0" xfId="0" applyNumberFormat="1" applyFont="1" applyFill="1" applyBorder="1"/>
    <xf numFmtId="170" fontId="1" fillId="0" borderId="0" xfId="5" applyNumberFormat="1" applyFont="1" applyFill="1" applyBorder="1"/>
    <xf numFmtId="170" fontId="11" fillId="0" borderId="0" xfId="5" applyNumberFormat="1" applyFont="1" applyFill="1" applyBorder="1"/>
    <xf numFmtId="0" fontId="1" fillId="0" borderId="0" xfId="0" applyFont="1" applyFill="1" applyBorder="1" applyAlignment="1">
      <alignment horizontal="right" vertical="top"/>
    </xf>
    <xf numFmtId="3" fontId="0" fillId="0" borderId="0" xfId="0" applyNumberFormat="1" applyFill="1" applyBorder="1"/>
    <xf numFmtId="0" fontId="1" fillId="0" borderId="0" xfId="0" applyFont="1" applyBorder="1" applyAlignment="1">
      <alignment horizontal="centerContinuous"/>
    </xf>
    <xf numFmtId="0" fontId="5" fillId="0" borderId="0" xfId="0" applyFont="1" applyBorder="1" applyAlignment="1">
      <alignment horizontal="right"/>
    </xf>
    <xf numFmtId="165" fontId="1" fillId="0" borderId="0" xfId="1" applyNumberFormat="1" applyFont="1" applyAlignment="1"/>
    <xf numFmtId="164" fontId="1" fillId="0" borderId="13" xfId="0" applyNumberFormat="1" applyFont="1" applyBorder="1" applyAlignment="1">
      <alignment vertical="center"/>
    </xf>
    <xf numFmtId="170" fontId="1" fillId="0" borderId="13" xfId="4" applyNumberFormat="1" applyFont="1" applyFill="1" applyBorder="1" applyAlignment="1">
      <alignment horizontal="center" vertical="center"/>
    </xf>
    <xf numFmtId="0" fontId="0" fillId="0" borderId="0" xfId="0" applyAlignment="1"/>
    <xf numFmtId="0" fontId="1" fillId="0" borderId="0" xfId="0" applyFont="1" applyAlignment="1"/>
    <xf numFmtId="0" fontId="1" fillId="0" borderId="0" xfId="0" applyFont="1" applyAlignment="1">
      <alignment horizontal="center"/>
    </xf>
    <xf numFmtId="0" fontId="3" fillId="0" borderId="0" xfId="0" applyFont="1" applyAlignment="1"/>
    <xf numFmtId="0" fontId="2" fillId="0" borderId="0" xfId="1" applyFont="1" applyAlignment="1">
      <alignment horizontal="center" wrapText="1"/>
    </xf>
    <xf numFmtId="0" fontId="13" fillId="0" borderId="0" xfId="0" applyFont="1" applyAlignment="1">
      <alignment horizontal="center"/>
    </xf>
    <xf numFmtId="0" fontId="1" fillId="0" borderId="0" xfId="1" applyFont="1" applyFill="1" applyAlignment="1">
      <alignment horizontal="left" vertical="top" wrapText="1"/>
    </xf>
    <xf numFmtId="0" fontId="2" fillId="0" borderId="0" xfId="1" applyFont="1" applyFill="1" applyAlignment="1">
      <alignment horizontal="center" wrapText="1"/>
    </xf>
    <xf numFmtId="0" fontId="13" fillId="0" borderId="0" xfId="0" applyFont="1" applyAlignment="1"/>
    <xf numFmtId="0" fontId="1" fillId="0" borderId="0" xfId="0" applyFont="1" applyAlignment="1">
      <alignment vertical="top" wrapText="1"/>
    </xf>
    <xf numFmtId="0" fontId="1" fillId="0" borderId="0" xfId="0" applyFont="1" applyAlignment="1">
      <alignment wrapText="1"/>
    </xf>
    <xf numFmtId="0" fontId="1" fillId="0" borderId="0" xfId="1" applyFont="1"/>
    <xf numFmtId="0" fontId="2" fillId="0" borderId="0" xfId="0" applyFont="1" applyAlignment="1"/>
    <xf numFmtId="0" fontId="3" fillId="0" borderId="0" xfId="1" applyFont="1" applyFill="1" applyAlignment="1">
      <alignment horizontal="left" indent="3"/>
    </xf>
    <xf numFmtId="0" fontId="1" fillId="0" borderId="0" xfId="1" applyFont="1"/>
    <xf numFmtId="0" fontId="13" fillId="0" borderId="0" xfId="0" applyFont="1" applyAlignment="1">
      <alignment horizontal="center"/>
    </xf>
    <xf numFmtId="170" fontId="1" fillId="0" borderId="0" xfId="0" applyNumberFormat="1" applyFont="1" applyAlignment="1">
      <alignment horizontal="right" indent="3"/>
    </xf>
    <xf numFmtId="0" fontId="1" fillId="0" borderId="0" xfId="0" applyFont="1" applyAlignment="1">
      <alignment horizontal="right" indent="3"/>
    </xf>
    <xf numFmtId="170" fontId="1" fillId="0" borderId="0" xfId="0" applyNumberFormat="1" applyFont="1" applyBorder="1" applyAlignment="1">
      <alignment horizontal="right" indent="3"/>
    </xf>
    <xf numFmtId="0" fontId="1" fillId="0" borderId="0" xfId="0" applyFont="1" applyBorder="1" applyAlignment="1">
      <alignment horizontal="right" indent="3"/>
    </xf>
    <xf numFmtId="0" fontId="3" fillId="0" borderId="0" xfId="0" applyFont="1"/>
    <xf numFmtId="0" fontId="1" fillId="0" borderId="0" xfId="0" applyFont="1"/>
    <xf numFmtId="0" fontId="3" fillId="0" borderId="0" xfId="0" applyFont="1" applyAlignment="1">
      <alignment wrapText="1"/>
    </xf>
    <xf numFmtId="0" fontId="1" fillId="0" borderId="0" xfId="0" applyFont="1" applyAlignment="1">
      <alignment horizontal="center"/>
    </xf>
    <xf numFmtId="0" fontId="1" fillId="0" borderId="0" xfId="0" applyFont="1" applyBorder="1"/>
    <xf numFmtId="0" fontId="9" fillId="0" borderId="0" xfId="0" applyFont="1" applyAlignment="1">
      <alignment horizontal="left"/>
    </xf>
    <xf numFmtId="1" fontId="1" fillId="0" borderId="0" xfId="1" applyNumberFormat="1" applyFont="1" applyFill="1" applyBorder="1" applyAlignment="1">
      <alignment horizontal="center"/>
    </xf>
    <xf numFmtId="3" fontId="1" fillId="0" borderId="0" xfId="1" applyNumberFormat="1" applyFont="1" applyFill="1" applyBorder="1" applyAlignment="1"/>
    <xf numFmtId="0" fontId="1" fillId="0" borderId="0" xfId="0" applyFont="1"/>
    <xf numFmtId="170" fontId="1" fillId="0" borderId="0" xfId="3" applyNumberFormat="1" applyFont="1" applyFill="1" applyAlignment="1">
      <alignment horizontal="right"/>
    </xf>
    <xf numFmtId="0" fontId="3" fillId="0" borderId="0" xfId="0" applyFont="1" applyAlignment="1">
      <alignment horizontal="center" wrapText="1"/>
    </xf>
    <xf numFmtId="0" fontId="1" fillId="0" borderId="0" xfId="1" applyFont="1" applyFill="1" applyAlignment="1">
      <alignment vertical="top" wrapText="1"/>
    </xf>
    <xf numFmtId="0" fontId="20" fillId="0" borderId="0" xfId="0" applyFont="1" applyAlignment="1"/>
    <xf numFmtId="0" fontId="1" fillId="0" borderId="0" xfId="1" applyFont="1" applyFill="1" applyAlignment="1">
      <alignment horizontal="left" vertical="top" wrapText="1"/>
    </xf>
    <xf numFmtId="0" fontId="20" fillId="0" borderId="0" xfId="0" applyFont="1" applyAlignment="1">
      <alignment vertical="justify"/>
    </xf>
    <xf numFmtId="0" fontId="1" fillId="0" borderId="0" xfId="0" applyFont="1"/>
    <xf numFmtId="0" fontId="1" fillId="0" borderId="0" xfId="1" applyFont="1"/>
    <xf numFmtId="0" fontId="1" fillId="0" borderId="0" xfId="0" applyFont="1" applyAlignment="1">
      <alignment horizontal="center"/>
    </xf>
    <xf numFmtId="0" fontId="1" fillId="0" borderId="0" xfId="0" applyFont="1" applyAlignment="1" applyProtection="1">
      <alignment vertical="top" wrapText="1"/>
      <protection locked="0" hidden="1"/>
    </xf>
    <xf numFmtId="0" fontId="1" fillId="0" borderId="0" xfId="0" applyFont="1"/>
    <xf numFmtId="0" fontId="1" fillId="0" borderId="0" xfId="0" applyFont="1" applyAlignment="1">
      <alignment horizontal="center"/>
    </xf>
    <xf numFmtId="0" fontId="1" fillId="0" borderId="0" xfId="0" applyFont="1" applyBorder="1"/>
    <xf numFmtId="0" fontId="1" fillId="0" borderId="2" xfId="0" applyFont="1" applyFill="1" applyBorder="1" applyAlignment="1">
      <alignment horizontal="center"/>
    </xf>
    <xf numFmtId="0" fontId="1" fillId="0" borderId="0" xfId="0" applyFont="1" applyAlignment="1">
      <alignment horizontal="center" wrapText="1"/>
    </xf>
    <xf numFmtId="0" fontId="1" fillId="0" borderId="0" xfId="1" applyFont="1" applyAlignment="1">
      <alignment horizontal="center" wrapText="1"/>
    </xf>
    <xf numFmtId="0" fontId="13" fillId="0" borderId="0" xfId="0" applyFont="1" applyAlignment="1">
      <alignment horizontal="center"/>
    </xf>
    <xf numFmtId="0" fontId="13" fillId="0" borderId="0" xfId="0" applyFont="1" applyBorder="1" applyAlignment="1">
      <alignment horizontal="center"/>
    </xf>
    <xf numFmtId="0" fontId="1" fillId="0" borderId="0" xfId="0" applyFont="1" applyAlignment="1">
      <alignment horizontal="left" vertical="top" wrapText="1"/>
    </xf>
    <xf numFmtId="0" fontId="1" fillId="0" borderId="2" xfId="0" applyFont="1" applyBorder="1" applyAlignment="1">
      <alignment horizontal="center"/>
    </xf>
    <xf numFmtId="0" fontId="1" fillId="0" borderId="0" xfId="0" applyFont="1"/>
    <xf numFmtId="0" fontId="1" fillId="0" borderId="0" xfId="1" applyFont="1"/>
    <xf numFmtId="0" fontId="1" fillId="0" borderId="0" xfId="0" applyFont="1" applyBorder="1" applyAlignment="1">
      <alignment horizontal="center"/>
    </xf>
    <xf numFmtId="0" fontId="1" fillId="0" borderId="0" xfId="0" applyFont="1" applyAlignment="1">
      <alignment horizontal="center"/>
    </xf>
    <xf numFmtId="0" fontId="1" fillId="0" borderId="0" xfId="0" applyFont="1" applyBorder="1"/>
    <xf numFmtId="0" fontId="1" fillId="0" borderId="0" xfId="0" applyFont="1" applyAlignment="1" applyProtection="1">
      <alignment horizontal="left" vertical="top" wrapText="1"/>
      <protection locked="0" hidden="1"/>
    </xf>
    <xf numFmtId="0" fontId="14" fillId="0" borderId="10" xfId="0" applyFont="1" applyBorder="1" applyAlignment="1">
      <alignment horizontal="center"/>
    </xf>
    <xf numFmtId="3" fontId="11" fillId="0" borderId="12" xfId="1" applyNumberFormat="1" applyFont="1" applyBorder="1" applyAlignment="1">
      <alignment horizontal="center"/>
    </xf>
    <xf numFmtId="10" fontId="13" fillId="0" borderId="13" xfId="4" applyNumberFormat="1" applyFont="1" applyBorder="1" applyAlignment="1">
      <alignment horizontal="center"/>
    </xf>
    <xf numFmtId="0" fontId="13" fillId="0" borderId="13" xfId="0" applyFont="1" applyBorder="1" applyAlignment="1">
      <alignment horizontal="center"/>
    </xf>
    <xf numFmtId="0" fontId="13" fillId="0" borderId="13" xfId="0" applyFont="1" applyBorder="1"/>
    <xf numFmtId="3" fontId="13" fillId="0" borderId="2" xfId="0" applyNumberFormat="1" applyFont="1" applyBorder="1"/>
    <xf numFmtId="3" fontId="13" fillId="0" borderId="15" xfId="0" applyNumberFormat="1" applyFont="1" applyBorder="1"/>
    <xf numFmtId="3" fontId="18" fillId="0" borderId="14" xfId="0" applyNumberFormat="1" applyFont="1" applyBorder="1"/>
    <xf numFmtId="3" fontId="18" fillId="0" borderId="2" xfId="0" applyNumberFormat="1" applyFont="1" applyBorder="1"/>
    <xf numFmtId="3" fontId="18" fillId="0" borderId="0" xfId="1" applyNumberFormat="1" applyFont="1" applyFill="1" applyAlignment="1"/>
    <xf numFmtId="3" fontId="18" fillId="0" borderId="2" xfId="1" applyNumberFormat="1" applyFont="1" applyFill="1" applyBorder="1" applyAlignment="1"/>
    <xf numFmtId="3" fontId="18" fillId="0" borderId="0" xfId="1" applyNumberFormat="1" applyFont="1" applyFill="1" applyBorder="1" applyAlignment="1"/>
    <xf numFmtId="0" fontId="24" fillId="0" borderId="0" xfId="1" applyFont="1" applyAlignment="1">
      <alignment horizontal="center"/>
    </xf>
    <xf numFmtId="165" fontId="18" fillId="0" borderId="0" xfId="1" applyNumberFormat="1" applyFont="1" applyAlignment="1">
      <alignment horizontal="center"/>
    </xf>
    <xf numFmtId="0" fontId="18" fillId="0" borderId="0" xfId="0" applyFont="1"/>
    <xf numFmtId="0" fontId="18" fillId="0" borderId="0" xfId="1" applyFont="1"/>
    <xf numFmtId="165" fontId="18" fillId="0" borderId="0" xfId="1" applyNumberFormat="1" applyFont="1" applyFill="1" applyAlignment="1">
      <alignment horizontal="center"/>
    </xf>
    <xf numFmtId="0" fontId="18" fillId="0" borderId="0" xfId="0" applyFont="1" applyFill="1"/>
    <xf numFmtId="0" fontId="18" fillId="0" borderId="0" xfId="1" applyFont="1" applyAlignment="1">
      <alignment horizontal="center"/>
    </xf>
    <xf numFmtId="164" fontId="18" fillId="0" borderId="0" xfId="1" applyNumberFormat="1" applyFont="1" applyAlignment="1">
      <alignment horizontal="center"/>
    </xf>
    <xf numFmtId="167" fontId="16" fillId="0" borderId="0" xfId="1" applyNumberFormat="1" applyFont="1" applyAlignment="1">
      <alignment horizontal="center"/>
    </xf>
    <xf numFmtId="0" fontId="18" fillId="0" borderId="0" xfId="0" applyFont="1" applyAlignment="1">
      <alignment horizontal="center"/>
    </xf>
    <xf numFmtId="164" fontId="18" fillId="0" borderId="0" xfId="0" applyNumberFormat="1" applyFont="1" applyAlignment="1">
      <alignment horizontal="center"/>
    </xf>
    <xf numFmtId="0" fontId="18" fillId="0" borderId="0" xfId="1" applyFont="1" applyFill="1"/>
    <xf numFmtId="0" fontId="13" fillId="0" borderId="10" xfId="0" applyFont="1" applyBorder="1"/>
    <xf numFmtId="0" fontId="13" fillId="0" borderId="11" xfId="0" applyFont="1" applyBorder="1"/>
    <xf numFmtId="0" fontId="14" fillId="0" borderId="14" xfId="0" applyFont="1" applyBorder="1" applyAlignment="1">
      <alignment horizontal="center"/>
    </xf>
    <xf numFmtId="0" fontId="14" fillId="0" borderId="2" xfId="0" applyFont="1" applyBorder="1" applyAlignment="1">
      <alignment horizontal="center"/>
    </xf>
    <xf numFmtId="0" fontId="14" fillId="0" borderId="15" xfId="0" applyFont="1" applyBorder="1" applyAlignment="1">
      <alignment horizontal="center"/>
    </xf>
    <xf numFmtId="164" fontId="11" fillId="0" borderId="2" xfId="0" applyNumberFormat="1" applyFont="1" applyFill="1" applyBorder="1"/>
    <xf numFmtId="0" fontId="24" fillId="0" borderId="0" xfId="1" applyFont="1" applyFill="1" applyAlignment="1">
      <alignment horizontal="center"/>
    </xf>
    <xf numFmtId="165" fontId="18" fillId="0" borderId="0" xfId="1" applyNumberFormat="1" applyFont="1" applyFill="1"/>
    <xf numFmtId="0" fontId="24" fillId="0" borderId="0" xfId="0" applyFont="1" applyAlignment="1">
      <alignment horizontal="right"/>
    </xf>
    <xf numFmtId="3" fontId="18" fillId="0" borderId="0" xfId="0" applyNumberFormat="1" applyFont="1"/>
    <xf numFmtId="164" fontId="18" fillId="0" borderId="0" xfId="0" applyNumberFormat="1" applyFont="1"/>
    <xf numFmtId="170" fontId="18" fillId="0" borderId="0" xfId="5" applyNumberFormat="1" applyFont="1"/>
    <xf numFmtId="0" fontId="14" fillId="0" borderId="0" xfId="0" applyFont="1" applyFill="1"/>
    <xf numFmtId="3" fontId="11" fillId="0" borderId="0" xfId="5" applyNumberFormat="1" applyFont="1"/>
    <xf numFmtId="3" fontId="18" fillId="0" borderId="0" xfId="5" applyNumberFormat="1" applyFont="1"/>
    <xf numFmtId="165" fontId="18" fillId="0" borderId="0" xfId="0" applyNumberFormat="1" applyFont="1"/>
    <xf numFmtId="176" fontId="18" fillId="0" borderId="0" xfId="6" applyNumberFormat="1" applyFont="1" applyFill="1" applyAlignment="1">
      <alignment horizontal="distributed"/>
    </xf>
    <xf numFmtId="164" fontId="18" fillId="0" borderId="0" xfId="0" applyNumberFormat="1" applyFont="1" applyFill="1" applyBorder="1" applyAlignment="1">
      <alignment horizontal="center"/>
    </xf>
    <xf numFmtId="164" fontId="18" fillId="0" borderId="1" xfId="0" applyNumberFormat="1" applyFont="1" applyFill="1" applyBorder="1" applyAlignment="1">
      <alignment horizontal="center"/>
    </xf>
    <xf numFmtId="164" fontId="18" fillId="0" borderId="0" xfId="0" applyNumberFormat="1" applyFont="1" applyFill="1" applyAlignment="1">
      <alignment horizontal="center"/>
    </xf>
    <xf numFmtId="164" fontId="18" fillId="0" borderId="2" xfId="0" applyNumberFormat="1" applyFont="1" applyFill="1" applyBorder="1" applyAlignment="1">
      <alignment horizontal="center"/>
    </xf>
    <xf numFmtId="164" fontId="1" fillId="0" borderId="15" xfId="0" applyNumberFormat="1" applyFont="1" applyBorder="1" applyAlignment="1">
      <alignment horizontal="center"/>
    </xf>
    <xf numFmtId="169" fontId="18" fillId="0" borderId="0" xfId="0" applyNumberFormat="1" applyFont="1" applyBorder="1" applyAlignment="1">
      <alignment horizontal="center"/>
    </xf>
    <xf numFmtId="169" fontId="18" fillId="0" borderId="0" xfId="0" applyNumberFormat="1" applyFont="1" applyAlignment="1">
      <alignment horizontal="right"/>
    </xf>
    <xf numFmtId="169" fontId="18" fillId="0" borderId="0" xfId="0" applyNumberFormat="1" applyFont="1" applyAlignment="1">
      <alignment horizontal="center"/>
    </xf>
    <xf numFmtId="169" fontId="18" fillId="0" borderId="0" xfId="0" quotePrefix="1" applyNumberFormat="1" applyFont="1" applyAlignment="1">
      <alignment horizontal="right"/>
    </xf>
    <xf numFmtId="169" fontId="18" fillId="0" borderId="0" xfId="0" applyNumberFormat="1" applyFont="1" applyFill="1" applyAlignment="1">
      <alignment horizontal="right"/>
    </xf>
    <xf numFmtId="0" fontId="18" fillId="0" borderId="0" xfId="0" applyFont="1" applyFill="1" applyAlignment="1">
      <alignment horizontal="center"/>
    </xf>
    <xf numFmtId="169" fontId="9" fillId="0" borderId="0" xfId="0" applyNumberFormat="1" applyFont="1" applyBorder="1" applyAlignment="1">
      <alignment horizontal="center"/>
    </xf>
    <xf numFmtId="170" fontId="18" fillId="0" borderId="0" xfId="4" applyNumberFormat="1" applyFont="1" applyAlignment="1">
      <alignment horizontal="center"/>
    </xf>
    <xf numFmtId="0" fontId="25" fillId="0" borderId="0" xfId="0" applyFont="1" applyAlignment="1">
      <alignment horizontal="left"/>
    </xf>
    <xf numFmtId="170" fontId="9" fillId="0" borderId="0" xfId="4" applyNumberFormat="1" applyFont="1" applyAlignment="1">
      <alignment horizontal="center"/>
    </xf>
    <xf numFmtId="170" fontId="23" fillId="0" borderId="0" xfId="4" applyNumberFormat="1" applyFont="1" applyAlignment="1">
      <alignment horizontal="center"/>
    </xf>
    <xf numFmtId="170" fontId="18" fillId="0" borderId="0" xfId="0" applyNumberFormat="1" applyFont="1"/>
    <xf numFmtId="169" fontId="18" fillId="0" borderId="0" xfId="0" applyNumberFormat="1" applyFont="1" applyFill="1" applyAlignment="1">
      <alignment horizontal="center"/>
    </xf>
    <xf numFmtId="0" fontId="24" fillId="0" borderId="0" xfId="0" applyFont="1"/>
    <xf numFmtId="169" fontId="9" fillId="0" borderId="0" xfId="0" applyNumberFormat="1" applyFont="1" applyFill="1" applyAlignment="1">
      <alignment horizontal="center"/>
    </xf>
    <xf numFmtId="164" fontId="18" fillId="0" borderId="0" xfId="0" applyNumberFormat="1" applyFont="1" applyAlignment="1">
      <alignment horizontal="center" vertical="center"/>
    </xf>
    <xf numFmtId="164" fontId="18" fillId="0" borderId="0" xfId="0" quotePrefix="1" applyNumberFormat="1" applyFont="1" applyAlignment="1">
      <alignment horizontal="center"/>
    </xf>
    <xf numFmtId="171" fontId="18" fillId="0" borderId="0" xfId="0" applyNumberFormat="1" applyFont="1" applyBorder="1" applyAlignment="1">
      <alignment horizontal="center"/>
    </xf>
    <xf numFmtId="164" fontId="18" fillId="0" borderId="0" xfId="0" applyNumberFormat="1" applyFont="1" applyBorder="1" applyAlignment="1">
      <alignment horizontal="center"/>
    </xf>
    <xf numFmtId="171" fontId="18" fillId="0" borderId="0" xfId="0" applyNumberFormat="1" applyFont="1" applyAlignment="1"/>
    <xf numFmtId="172" fontId="18" fillId="0" borderId="0" xfId="0" applyNumberFormat="1" applyFont="1" applyAlignment="1"/>
    <xf numFmtId="171" fontId="18" fillId="0" borderId="6" xfId="0" applyNumberFormat="1" applyFont="1" applyBorder="1" applyAlignment="1"/>
    <xf numFmtId="172" fontId="18" fillId="0" borderId="6" xfId="0" applyNumberFormat="1" applyFont="1" applyBorder="1" applyAlignment="1"/>
    <xf numFmtId="172" fontId="18" fillId="0" borderId="6" xfId="0" applyNumberFormat="1" applyFont="1" applyBorder="1" applyAlignment="1">
      <alignment horizontal="right"/>
    </xf>
    <xf numFmtId="172" fontId="18" fillId="0" borderId="0" xfId="0" applyNumberFormat="1" applyFont="1" applyAlignment="1">
      <alignment horizontal="right"/>
    </xf>
    <xf numFmtId="172" fontId="18" fillId="0" borderId="0" xfId="0" applyNumberFormat="1" applyFont="1" applyAlignment="1" applyProtection="1">
      <protection locked="0"/>
    </xf>
    <xf numFmtId="171" fontId="18" fillId="0" borderId="0" xfId="0" applyNumberFormat="1" applyFont="1" applyAlignment="1" applyProtection="1">
      <protection locked="0"/>
    </xf>
    <xf numFmtId="172" fontId="18" fillId="0" borderId="0" xfId="0" applyNumberFormat="1" applyFont="1" applyAlignment="1" applyProtection="1">
      <alignment horizontal="right"/>
      <protection locked="0"/>
    </xf>
    <xf numFmtId="171" fontId="18" fillId="0" borderId="7" xfId="0" applyNumberFormat="1" applyFont="1" applyBorder="1" applyAlignment="1"/>
    <xf numFmtId="172" fontId="18" fillId="0" borderId="7" xfId="0" applyNumberFormat="1" applyFont="1" applyBorder="1" applyAlignment="1"/>
    <xf numFmtId="172" fontId="18" fillId="0" borderId="7" xfId="0" applyNumberFormat="1" applyFont="1" applyBorder="1" applyAlignment="1">
      <alignment horizontal="right"/>
    </xf>
    <xf numFmtId="171" fontId="26" fillId="0" borderId="8" xfId="0" applyNumberFormat="1" applyFont="1" applyBorder="1" applyAlignment="1"/>
    <xf numFmtId="172" fontId="26" fillId="0" borderId="8" xfId="0" applyNumberFormat="1" applyFont="1" applyBorder="1" applyAlignment="1"/>
    <xf numFmtId="172" fontId="26" fillId="0" borderId="8" xfId="0" applyNumberFormat="1" applyFont="1" applyBorder="1" applyAlignment="1">
      <alignment horizontal="right"/>
    </xf>
    <xf numFmtId="172" fontId="18" fillId="0" borderId="8" xfId="0" applyNumberFormat="1" applyFont="1" applyBorder="1" applyAlignment="1"/>
    <xf numFmtId="171" fontId="26" fillId="0" borderId="0" xfId="0" applyNumberFormat="1" applyFont="1" applyBorder="1" applyAlignment="1"/>
    <xf numFmtId="172" fontId="26" fillId="0" borderId="0" xfId="0" applyNumberFormat="1" applyFont="1" applyBorder="1" applyAlignment="1"/>
    <xf numFmtId="172" fontId="26" fillId="0" borderId="0" xfId="0" applyNumberFormat="1" applyFont="1" applyBorder="1" applyAlignment="1">
      <alignment horizontal="right"/>
    </xf>
    <xf numFmtId="172" fontId="18" fillId="0" borderId="0" xfId="0" applyNumberFormat="1" applyFont="1" applyBorder="1" applyAlignment="1"/>
    <xf numFmtId="173" fontId="18" fillId="0" borderId="0" xfId="0" applyNumberFormat="1" applyFont="1" applyAlignment="1">
      <alignment horizontal="centerContinuous"/>
    </xf>
    <xf numFmtId="0" fontId="18" fillId="0" borderId="0" xfId="0" applyNumberFormat="1" applyFont="1" applyAlignment="1"/>
    <xf numFmtId="0" fontId="18" fillId="0" borderId="0" xfId="0" applyNumberFormat="1" applyFont="1" applyAlignment="1">
      <alignment horizontal="center"/>
    </xf>
    <xf numFmtId="174" fontId="18" fillId="0" borderId="0" xfId="0" applyNumberFormat="1" applyFont="1" applyAlignment="1"/>
    <xf numFmtId="170" fontId="18" fillId="0" borderId="0" xfId="0" applyNumberFormat="1" applyFont="1" applyFill="1"/>
    <xf numFmtId="164" fontId="18" fillId="0" borderId="0" xfId="0" applyNumberFormat="1" applyFont="1" applyFill="1"/>
    <xf numFmtId="164" fontId="18" fillId="0" borderId="2" xfId="0" applyNumberFormat="1" applyFont="1" applyFill="1" applyBorder="1"/>
    <xf numFmtId="3" fontId="18" fillId="0" borderId="0" xfId="3" applyNumberFormat="1" applyFont="1"/>
    <xf numFmtId="0" fontId="13" fillId="0" borderId="3" xfId="0" applyFont="1" applyBorder="1" applyAlignment="1">
      <alignment horizontal="center"/>
    </xf>
    <xf numFmtId="0" fontId="13" fillId="0" borderId="12" xfId="0" applyFont="1" applyBorder="1"/>
    <xf numFmtId="0" fontId="13" fillId="0" borderId="12" xfId="0" applyFont="1" applyBorder="1" applyAlignment="1">
      <alignment horizontal="center"/>
    </xf>
    <xf numFmtId="0" fontId="14" fillId="0" borderId="12" xfId="0" applyFont="1" applyBorder="1" applyAlignment="1">
      <alignment horizontal="center"/>
    </xf>
    <xf numFmtId="0" fontId="14" fillId="0" borderId="13" xfId="0" applyFont="1" applyBorder="1"/>
    <xf numFmtId="170" fontId="13" fillId="0" borderId="13" xfId="4" applyNumberFormat="1" applyFont="1" applyBorder="1"/>
    <xf numFmtId="0" fontId="13" fillId="0" borderId="14" xfId="0" applyFont="1" applyBorder="1" applyAlignment="1">
      <alignment horizontal="center"/>
    </xf>
    <xf numFmtId="3" fontId="1" fillId="0" borderId="2" xfId="0" applyNumberFormat="1" applyFont="1" applyBorder="1" applyAlignment="1">
      <alignment horizontal="center"/>
    </xf>
    <xf numFmtId="170" fontId="18" fillId="0" borderId="2" xfId="0" applyNumberFormat="1" applyFont="1" applyBorder="1" applyAlignment="1">
      <alignment horizontal="center"/>
    </xf>
    <xf numFmtId="170" fontId="13" fillId="0" borderId="15" xfId="4" applyNumberFormat="1" applyFont="1" applyBorder="1"/>
    <xf numFmtId="3" fontId="1" fillId="0" borderId="0" xfId="3" applyNumberFormat="1" applyFont="1" applyFill="1" applyBorder="1"/>
    <xf numFmtId="170" fontId="18" fillId="0" borderId="0" xfId="3" applyNumberFormat="1" applyFont="1" applyFill="1"/>
    <xf numFmtId="170" fontId="23" fillId="0" borderId="0" xfId="4" applyNumberFormat="1" applyFont="1" applyFill="1" applyBorder="1" applyAlignment="1">
      <alignment horizontal="center" vertical="center"/>
    </xf>
    <xf numFmtId="170" fontId="1" fillId="0" borderId="2" xfId="4" applyNumberFormat="1" applyFont="1" applyFill="1" applyBorder="1" applyAlignment="1">
      <alignment horizontal="center" vertical="center"/>
    </xf>
    <xf numFmtId="170" fontId="23" fillId="0" borderId="14" xfId="0" applyNumberFormat="1" applyFont="1" applyFill="1" applyBorder="1" applyAlignment="1" applyProtection="1">
      <alignment horizontal="center"/>
      <protection locked="0" hidden="1"/>
    </xf>
    <xf numFmtId="170" fontId="23" fillId="0" borderId="2" xfId="0" applyNumberFormat="1" applyFont="1" applyFill="1" applyBorder="1" applyAlignment="1" applyProtection="1">
      <alignment horizontal="center"/>
      <protection locked="0" hidden="1"/>
    </xf>
    <xf numFmtId="170" fontId="23" fillId="0" borderId="15" xfId="0" applyNumberFormat="1" applyFont="1" applyFill="1" applyBorder="1" applyAlignment="1" applyProtection="1">
      <alignment horizontal="center"/>
      <protection locked="0" hidden="1"/>
    </xf>
    <xf numFmtId="170" fontId="18" fillId="0" borderId="0" xfId="5" applyNumberFormat="1" applyFont="1" applyFill="1" applyAlignment="1">
      <alignment horizontal="center" vertical="top" wrapText="1"/>
    </xf>
    <xf numFmtId="8" fontId="18" fillId="0" borderId="0" xfId="0" applyNumberFormat="1" applyFont="1" applyFill="1" applyAlignment="1" applyProtection="1">
      <alignment horizontal="center" vertical="top"/>
      <protection locked="0" hidden="1"/>
    </xf>
    <xf numFmtId="164" fontId="2" fillId="0" borderId="0" xfId="1" applyNumberFormat="1" applyFont="1" applyFill="1" applyAlignment="1">
      <alignment horizontal="center"/>
    </xf>
    <xf numFmtId="0" fontId="1" fillId="0" borderId="0" xfId="1" applyFont="1" applyAlignment="1">
      <alignment wrapText="1"/>
    </xf>
    <xf numFmtId="4" fontId="13" fillId="0" borderId="16" xfId="0" applyNumberFormat="1" applyFont="1" applyBorder="1" applyAlignment="1">
      <alignment horizontal="center"/>
    </xf>
    <xf numFmtId="4" fontId="13" fillId="0" borderId="9" xfId="0" applyNumberFormat="1" applyFont="1" applyBorder="1" applyAlignment="1">
      <alignment horizontal="center"/>
    </xf>
    <xf numFmtId="4" fontId="13" fillId="0" borderId="17" xfId="0" applyNumberFormat="1" applyFont="1" applyBorder="1" applyAlignment="1">
      <alignment horizontal="center"/>
    </xf>
    <xf numFmtId="0" fontId="2" fillId="0" borderId="0" xfId="1" applyFont="1" applyAlignment="1">
      <alignment horizontal="center" wrapText="1"/>
    </xf>
    <xf numFmtId="0" fontId="13" fillId="0" borderId="0" xfId="0" applyFont="1" applyAlignment="1">
      <alignment horizontal="center"/>
    </xf>
    <xf numFmtId="0" fontId="1" fillId="0" borderId="0" xfId="1" applyFont="1" applyFill="1" applyAlignment="1">
      <alignment vertical="top" wrapText="1"/>
    </xf>
    <xf numFmtId="0" fontId="20" fillId="0" borderId="0" xfId="0" applyFont="1" applyAlignment="1">
      <alignment vertical="top"/>
    </xf>
    <xf numFmtId="0" fontId="13" fillId="0" borderId="0" xfId="0" applyFont="1" applyBorder="1" applyAlignment="1">
      <alignment horizontal="center"/>
    </xf>
    <xf numFmtId="0" fontId="14" fillId="0" borderId="0" xfId="0" applyFont="1" applyAlignment="1">
      <alignment horizontal="center"/>
    </xf>
    <xf numFmtId="0" fontId="15" fillId="0" borderId="0" xfId="0" applyFont="1" applyAlignment="1">
      <alignment horizontal="center"/>
    </xf>
    <xf numFmtId="0" fontId="13" fillId="0" borderId="18" xfId="0" applyFont="1" applyBorder="1" applyAlignment="1">
      <alignment horizontal="center" vertical="center" textRotation="90"/>
    </xf>
    <xf numFmtId="0" fontId="0" fillId="0" borderId="19" xfId="0" applyFont="1" applyBorder="1" applyAlignment="1">
      <alignment horizontal="center" vertical="center" textRotation="90"/>
    </xf>
    <xf numFmtId="0" fontId="0" fillId="0" borderId="20" xfId="0" applyBorder="1" applyAlignment="1"/>
    <xf numFmtId="0" fontId="0" fillId="0" borderId="19" xfId="0" applyBorder="1" applyAlignment="1">
      <alignment horizontal="center" vertical="center" textRotation="90"/>
    </xf>
    <xf numFmtId="0" fontId="0" fillId="0" borderId="20" xfId="0" applyBorder="1" applyAlignment="1">
      <alignment horizontal="center" vertical="center" textRotation="90"/>
    </xf>
    <xf numFmtId="0" fontId="1" fillId="0" borderId="0" xfId="1" applyFont="1" applyFill="1" applyAlignment="1">
      <alignment wrapText="1"/>
    </xf>
    <xf numFmtId="0" fontId="20" fillId="0" borderId="0" xfId="0" applyFont="1" applyAlignment="1"/>
    <xf numFmtId="0" fontId="1" fillId="0" borderId="0" xfId="1" applyFont="1" applyFill="1" applyAlignment="1">
      <alignment horizontal="left" vertical="top" wrapText="1"/>
    </xf>
    <xf numFmtId="0" fontId="0" fillId="0" borderId="0" xfId="0" applyAlignment="1">
      <alignment horizontal="left" vertical="top" wrapText="1"/>
    </xf>
    <xf numFmtId="0" fontId="20" fillId="0" borderId="0" xfId="0" applyFont="1" applyFill="1" applyAlignment="1">
      <alignment vertical="top" wrapText="1"/>
    </xf>
    <xf numFmtId="0" fontId="1" fillId="0" borderId="0" xfId="1" applyFont="1" applyAlignment="1">
      <alignment vertical="top" wrapText="1"/>
    </xf>
    <xf numFmtId="0" fontId="0" fillId="0" borderId="0" xfId="0" applyAlignment="1">
      <alignment vertical="top" wrapText="1"/>
    </xf>
    <xf numFmtId="0" fontId="2" fillId="0" borderId="0" xfId="1" applyFont="1" applyFill="1" applyAlignment="1">
      <alignment horizontal="center" wrapText="1"/>
    </xf>
    <xf numFmtId="0" fontId="1" fillId="0" borderId="0" xfId="1" applyFont="1" applyFill="1" applyBorder="1" applyAlignment="1">
      <alignment horizontal="center"/>
    </xf>
    <xf numFmtId="0" fontId="1" fillId="0" borderId="0" xfId="0" applyFont="1" applyAlignment="1">
      <alignment horizontal="left" vertical="top" wrapText="1"/>
    </xf>
    <xf numFmtId="165" fontId="1" fillId="0" borderId="0" xfId="1" applyNumberFormat="1" applyFont="1" applyAlignment="1">
      <alignment horizontal="left"/>
    </xf>
    <xf numFmtId="0" fontId="0" fillId="0" borderId="0" xfId="0" applyAlignment="1">
      <alignment horizontal="left"/>
    </xf>
    <xf numFmtId="0" fontId="1" fillId="0" borderId="0" xfId="1" applyFont="1" applyAlignment="1">
      <alignment horizontal="left" vertical="top" wrapText="1"/>
    </xf>
    <xf numFmtId="0" fontId="20" fillId="0" borderId="0" xfId="0" applyFont="1" applyAlignment="1">
      <alignment horizontal="left" vertical="top" wrapText="1"/>
    </xf>
    <xf numFmtId="0" fontId="1" fillId="0" borderId="2" xfId="1" applyFont="1" applyFill="1" applyBorder="1" applyAlignment="1">
      <alignment horizontal="center"/>
    </xf>
    <xf numFmtId="0" fontId="1" fillId="0" borderId="0" xfId="1" applyFont="1" applyFill="1" applyAlignment="1">
      <alignment vertical="justify"/>
    </xf>
    <xf numFmtId="0" fontId="20" fillId="0" borderId="0" xfId="0" applyFont="1" applyAlignment="1">
      <alignment vertical="justify"/>
    </xf>
    <xf numFmtId="0" fontId="20" fillId="0" borderId="2" xfId="0" applyFont="1" applyBorder="1" applyAlignment="1">
      <alignment horizontal="center"/>
    </xf>
    <xf numFmtId="0" fontId="20" fillId="0" borderId="0" xfId="0" applyFont="1" applyAlignment="1">
      <alignment horizontal="center" wrapText="1"/>
    </xf>
    <xf numFmtId="0" fontId="20" fillId="0" borderId="0" xfId="0" applyFont="1" applyAlignment="1">
      <alignment vertical="top" wrapText="1"/>
    </xf>
    <xf numFmtId="0" fontId="1" fillId="0" borderId="2" xfId="1" applyFont="1" applyBorder="1" applyAlignment="1">
      <alignment horizontal="center"/>
    </xf>
    <xf numFmtId="0" fontId="1" fillId="0" borderId="0" xfId="1" applyFont="1" applyAlignment="1">
      <alignment horizontal="left" wrapText="1"/>
    </xf>
    <xf numFmtId="0" fontId="1" fillId="0" borderId="2" xfId="0" applyFont="1" applyBorder="1" applyAlignment="1">
      <alignment horizontal="center"/>
    </xf>
    <xf numFmtId="0" fontId="2" fillId="0" borderId="0" xfId="0" applyFont="1" applyAlignment="1">
      <alignment horizontal="center"/>
    </xf>
    <xf numFmtId="0" fontId="3" fillId="0" borderId="0" xfId="0" applyFont="1"/>
    <xf numFmtId="0" fontId="1" fillId="0" borderId="0" xfId="0" applyFont="1"/>
    <xf numFmtId="0" fontId="0" fillId="0" borderId="2" xfId="0" applyBorder="1" applyAlignment="1"/>
    <xf numFmtId="0" fontId="3" fillId="0" borderId="0" xfId="0" applyFont="1" applyAlignment="1">
      <alignment horizontal="left" wrapText="1"/>
    </xf>
    <xf numFmtId="0" fontId="1" fillId="0" borderId="0" xfId="0" applyFont="1" applyAlignment="1">
      <alignment horizontal="left" wrapText="1"/>
    </xf>
    <xf numFmtId="0" fontId="1" fillId="0" borderId="0" xfId="0" applyFont="1" applyAlignment="1">
      <alignment wrapText="1"/>
    </xf>
    <xf numFmtId="0" fontId="1" fillId="0" borderId="0" xfId="1" applyFont="1"/>
    <xf numFmtId="0" fontId="2" fillId="0" borderId="0" xfId="1" applyFont="1" applyAlignment="1">
      <alignment horizontal="center"/>
    </xf>
    <xf numFmtId="0" fontId="1" fillId="0" borderId="0" xfId="0" applyFont="1" applyAlignment="1">
      <alignment vertical="top" wrapText="1"/>
    </xf>
    <xf numFmtId="0" fontId="1" fillId="0" borderId="0" xfId="0" applyFont="1" applyFill="1" applyAlignment="1">
      <alignment vertical="top" wrapText="1"/>
    </xf>
    <xf numFmtId="0" fontId="3" fillId="0" borderId="0" xfId="0" applyFont="1" applyAlignment="1">
      <alignment wrapText="1"/>
    </xf>
    <xf numFmtId="0" fontId="1" fillId="0" borderId="0" xfId="0" applyFont="1" applyBorder="1" applyAlignment="1">
      <alignment horizontal="center"/>
    </xf>
    <xf numFmtId="0" fontId="1" fillId="0" borderId="0" xfId="0" applyFont="1" applyFill="1" applyAlignment="1">
      <alignment horizontal="left" vertical="top" wrapText="1"/>
    </xf>
    <xf numFmtId="0" fontId="13" fillId="0" borderId="0" xfId="0" applyFont="1" applyFill="1" applyAlignment="1">
      <alignment vertical="top" wrapText="1"/>
    </xf>
    <xf numFmtId="0" fontId="2" fillId="0" borderId="2" xfId="0" applyFont="1" applyFill="1" applyBorder="1" applyAlignment="1">
      <alignment horizontal="center"/>
    </xf>
    <xf numFmtId="0" fontId="13" fillId="0" borderId="0" xfId="0" applyFont="1" applyFill="1" applyAlignment="1">
      <alignment horizontal="left" vertical="top" wrapText="1"/>
    </xf>
    <xf numFmtId="0" fontId="1" fillId="0" borderId="9" xfId="0" applyFont="1" applyFill="1" applyBorder="1" applyAlignment="1">
      <alignment horizontal="center"/>
    </xf>
    <xf numFmtId="0" fontId="1" fillId="0" borderId="16" xfId="0" applyFont="1" applyBorder="1" applyAlignment="1">
      <alignment horizontal="center"/>
    </xf>
    <xf numFmtId="0" fontId="20" fillId="0" borderId="9" xfId="0" applyFont="1" applyBorder="1" applyAlignment="1">
      <alignment horizontal="center"/>
    </xf>
    <xf numFmtId="0" fontId="20" fillId="0" borderId="17" xfId="0" applyFont="1" applyBorder="1" applyAlignment="1">
      <alignment horizontal="center"/>
    </xf>
    <xf numFmtId="4" fontId="2" fillId="0" borderId="16" xfId="0" applyNumberFormat="1" applyFont="1" applyBorder="1" applyAlignment="1">
      <alignment horizontal="center"/>
    </xf>
    <xf numFmtId="0" fontId="2" fillId="0" borderId="9" xfId="0" applyFont="1" applyBorder="1" applyAlignment="1">
      <alignment horizontal="center"/>
    </xf>
    <xf numFmtId="0" fontId="2" fillId="0" borderId="17" xfId="0" applyFont="1" applyBorder="1" applyAlignment="1">
      <alignment horizontal="center"/>
    </xf>
    <xf numFmtId="164" fontId="2" fillId="0" borderId="0" xfId="0" applyNumberFormat="1" applyFont="1" applyAlignment="1">
      <alignment horizontal="center"/>
    </xf>
    <xf numFmtId="0" fontId="1" fillId="0" borderId="0" xfId="0" applyFont="1" applyAlignment="1"/>
    <xf numFmtId="0" fontId="2" fillId="0" borderId="0" xfId="0" applyFont="1" applyFill="1" applyAlignment="1">
      <alignment horizontal="center"/>
    </xf>
    <xf numFmtId="0" fontId="1" fillId="0" borderId="0" xfId="0" applyFont="1" applyAlignment="1">
      <alignment horizontal="center"/>
    </xf>
    <xf numFmtId="0" fontId="1" fillId="0" borderId="0" xfId="0" applyFont="1" applyBorder="1"/>
    <xf numFmtId="0" fontId="1" fillId="0" borderId="0" xfId="0" applyFont="1" applyBorder="1" applyAlignment="1">
      <alignment vertical="top" wrapText="1"/>
    </xf>
    <xf numFmtId="164" fontId="2" fillId="0" borderId="0" xfId="0" applyNumberFormat="1" applyFont="1" applyFill="1" applyAlignment="1">
      <alignment horizontal="center"/>
    </xf>
    <xf numFmtId="2" fontId="1" fillId="0" borderId="0" xfId="0" applyNumberFormat="1" applyFont="1" applyFill="1" applyAlignment="1">
      <alignment wrapText="1"/>
    </xf>
    <xf numFmtId="0" fontId="1" fillId="0" borderId="2" xfId="3" applyFont="1" applyBorder="1" applyAlignment="1">
      <alignment horizontal="center"/>
    </xf>
    <xf numFmtId="0" fontId="13" fillId="0" borderId="16" xfId="0" applyFont="1" applyBorder="1" applyAlignment="1">
      <alignment horizontal="center"/>
    </xf>
    <xf numFmtId="0" fontId="13" fillId="0" borderId="9" xfId="0" applyFont="1" applyBorder="1" applyAlignment="1">
      <alignment horizontal="center"/>
    </xf>
    <xf numFmtId="0" fontId="13" fillId="0" borderId="17" xfId="0" applyFont="1" applyBorder="1" applyAlignment="1">
      <alignment horizontal="center"/>
    </xf>
    <xf numFmtId="0" fontId="1" fillId="0" borderId="0" xfId="3" applyFont="1" applyAlignment="1">
      <alignment vertical="top" wrapText="1"/>
    </xf>
    <xf numFmtId="0" fontId="1" fillId="0" borderId="0" xfId="3" applyFont="1" applyAlignment="1">
      <alignment horizontal="left"/>
    </xf>
    <xf numFmtId="0" fontId="2" fillId="0" borderId="0" xfId="3" applyFont="1" applyAlignment="1">
      <alignment horizontal="center"/>
    </xf>
    <xf numFmtId="0" fontId="1" fillId="0" borderId="0" xfId="3" applyFont="1" applyAlignment="1">
      <alignment horizontal="center"/>
    </xf>
    <xf numFmtId="0" fontId="0" fillId="0" borderId="9" xfId="0" applyBorder="1" applyAlignment="1">
      <alignment horizontal="center"/>
    </xf>
    <xf numFmtId="0" fontId="0" fillId="0" borderId="17" xfId="0" applyBorder="1" applyAlignment="1">
      <alignment horizontal="center"/>
    </xf>
    <xf numFmtId="2" fontId="2" fillId="0" borderId="0" xfId="0" applyNumberFormat="1" applyFont="1" applyAlignment="1">
      <alignment horizontal="center"/>
    </xf>
    <xf numFmtId="0" fontId="2" fillId="0" borderId="0" xfId="0" applyFont="1" applyAlignment="1" applyProtection="1">
      <alignment horizontal="center"/>
      <protection locked="0" hidden="1"/>
    </xf>
    <xf numFmtId="9" fontId="2" fillId="0" borderId="0" xfId="5" applyFont="1" applyAlignment="1" applyProtection="1">
      <alignment horizontal="center"/>
      <protection locked="0" hidden="1"/>
    </xf>
    <xf numFmtId="0" fontId="1" fillId="0" borderId="0" xfId="0" applyFont="1" applyAlignment="1" applyProtection="1">
      <alignment vertical="top" wrapText="1"/>
      <protection locked="0" hidden="1"/>
    </xf>
  </cellXfs>
  <cellStyles count="11">
    <cellStyle name="Comma" xfId="6" builtinId="3"/>
    <cellStyle name="Comma 2" xfId="9"/>
    <cellStyle name="Normal" xfId="0" builtinId="0"/>
    <cellStyle name="Normal 2" xfId="1"/>
    <cellStyle name="Normal 3" xfId="2"/>
    <cellStyle name="Normal 3 2" xfId="10"/>
    <cellStyle name="Normal 5" xfId="3"/>
    <cellStyle name="Normal 5 2" xfId="7"/>
    <cellStyle name="Percent" xfId="4" builtinId="5"/>
    <cellStyle name="Percent 2 2" xfId="5"/>
    <cellStyle name="Percent 3"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419100</xdr:colOff>
      <xdr:row>43</xdr:row>
      <xdr:rowOff>0</xdr:rowOff>
    </xdr:from>
    <xdr:to>
      <xdr:col>11</xdr:col>
      <xdr:colOff>19050</xdr:colOff>
      <xdr:row>44</xdr:row>
      <xdr:rowOff>0</xdr:rowOff>
    </xdr:to>
    <xdr:sp macro="" textlink="">
      <xdr:nvSpPr>
        <xdr:cNvPr id="2" name="Text Box 6">
          <a:extLst>
            <a:ext uri="{FF2B5EF4-FFF2-40B4-BE49-F238E27FC236}">
              <a16:creationId xmlns:a16="http://schemas.microsoft.com/office/drawing/2014/main" id="{00000000-0008-0000-1900-000002000000}"/>
            </a:ext>
          </a:extLst>
        </xdr:cNvPr>
        <xdr:cNvSpPr txBox="1">
          <a:spLocks noChangeArrowheads="1"/>
        </xdr:cNvSpPr>
      </xdr:nvSpPr>
      <xdr:spPr bwMode="auto">
        <a:xfrm>
          <a:off x="2076450" y="6410325"/>
          <a:ext cx="292417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Selected Indemnity Severity Trend:</a:t>
          </a:r>
          <a:endParaRPr 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C1000R/March19/1-1-2020%20Filing/Loss%20Analysi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Loss%20Analysis\2017%202Q\Working%20Version%20-%20for%209-5-17%20Agenda\CW\Exhibits%201-8%20and%20Alt%20Methods%20Quarterly%20Loss%20Analysis%20-%209-5-2017%20Agend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ctuarial\Public\Shared\CWong%20Shared%20Files\Project%20Challenge%20Accepted\Main%20Spread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lusions"/>
      <sheetName val="All Source Data"/>
      <sheetName val="Source Data for Med Rfm Adj"/>
      <sheetName val="Market Share"/>
      <sheetName val="Historical Data-Freeze"/>
      <sheetName val="Exhibit 1"/>
      <sheetName val="Exhibit 2.1 Data"/>
      <sheetName val="Exhibit 2.1"/>
      <sheetName val="Exhibit 2.2 Data"/>
      <sheetName val="Exhibit 2.2"/>
      <sheetName val="Exhibit 2.3 Data"/>
      <sheetName val="Exhibit 2.3"/>
      <sheetName val="Exhibit 2.4 Data"/>
      <sheetName val="Exhibit 2.4 Pharm Adj"/>
      <sheetName val="SB1160 Lien Adj"/>
      <sheetName val="Exhibit 2.4"/>
      <sheetName val="Exh2.5 Agenda_Regular Method"/>
      <sheetName val="Exh2.5 Agenda_BS Method"/>
      <sheetName val="Exh2.6 Agenda_Regular Method"/>
      <sheetName val="Exh2.6 Agenda - BS"/>
      <sheetName val="Exhibit 3"/>
      <sheetName val="Exhibit 4.1"/>
      <sheetName val="Exhibit 4.2"/>
      <sheetName val="Chg in Med CPI for Exh 4.2"/>
      <sheetName val="Exhibit 4.3"/>
      <sheetName val="Exhibit 4.4"/>
      <sheetName val="Exhibit 5.1"/>
      <sheetName val="Exhibit 5.2"/>
      <sheetName val="Exh 5.2_Prem Earned Out"/>
      <sheetName val="Exhibit 6.1"/>
      <sheetName val="Exhibit 6.2"/>
      <sheetName val="Exhibit 6.3"/>
      <sheetName val="Exhibit 6.3_Inc MCCP"/>
      <sheetName val="Exh6.3_MO LDF"/>
      <sheetName val="Exhibit 6.4 Data"/>
      <sheetName val="Exhibit 6.4"/>
      <sheetName val="Exhibit 7.1"/>
      <sheetName val="Exhibit 7.2"/>
      <sheetName val="Exhibit 7.3"/>
      <sheetName val="Exhibit 7.4"/>
      <sheetName val="Exhibit 8"/>
      <sheetName val="Exhibit 9"/>
      <sheetName val="Exhibit 10"/>
      <sheetName val="Exhibit 11.1-11.2"/>
      <sheetName val="Exhibit 11.3"/>
      <sheetName val="Pivot-All Insurers"/>
      <sheetName val="For Slides"/>
    </sheetNames>
    <sheetDataSet>
      <sheetData sheetId="0"/>
      <sheetData sheetId="1"/>
      <sheetData sheetId="2"/>
      <sheetData sheetId="3">
        <row r="1">
          <cell r="E1">
            <v>2016</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xh1 Agenda"/>
      <sheetName val="Exh2_1"/>
      <sheetName val="Exh2.1 Agenda"/>
      <sheetName val="Exh2_2"/>
      <sheetName val="Exh2.2 Agenda"/>
      <sheetName val="Exh2_3_x SB863"/>
      <sheetName val="Exh2_3_Selected"/>
      <sheetName val="Exh2.3 Agenda"/>
      <sheetName val="Exh2_4"/>
      <sheetName val="Exh2_4_Selected"/>
      <sheetName val="Ex 2.4 Data"/>
      <sheetName val="Exh2.4 Agenda"/>
      <sheetName val="Exh2.5 Agenda"/>
      <sheetName val="Exh2.6 Agenda"/>
      <sheetName val="Exh2.5 Agenda - BS"/>
      <sheetName val="Exh2.6 Agenda - BS"/>
      <sheetName val="Exh3.1 Paid BS Latest Yr Agenda"/>
      <sheetName val="Exh3.2 Paid BS Latest Yr Agenda"/>
      <sheetName val="OAG Factors"/>
      <sheetName val="Exh4_1(without PDRS)"/>
      <sheetName val="Exh3.2 Agenda"/>
      <sheetName val="Exh4.1 Agenda"/>
      <sheetName val="Exh_4_1_No_Freq_&amp;_Ref_Impact"/>
      <sheetName val="Exh4.2_full impact Reforms"/>
      <sheetName val="Exh4.2 Agenda"/>
      <sheetName val="Exh_4.4 No_Freq_Impact Proj"/>
      <sheetName val="Restructure Exh_4_Medical"/>
      <sheetName val="Exh4.3 Agenda"/>
      <sheetName val="Exh_4.4 full impact Reforms"/>
      <sheetName val="Exh4.4 Agenda"/>
      <sheetName val="Exh_4.4 No_Freq_Impact"/>
      <sheetName val="Exh_4.4_wth SB863_Sev_Only"/>
      <sheetName val="Exh_4.3 wth SB863 Severity Only"/>
      <sheetName val="Exh_4.4 wth SB863 Severity Only"/>
      <sheetName val="Medical Legal 7_16_1993"/>
      <sheetName val="IHFS"/>
      <sheetName val="Exh5.1 Agenda"/>
      <sheetName val="Exh5.2_for_1-1-13_Filing_x_wage"/>
      <sheetName val="Exh5.2 - Unadj for Indust Avg"/>
      <sheetName val="Exh5.2_Adj for Industry Avg"/>
      <sheetName val="Exh_7.1_Paid_BS_Latest_Yr"/>
      <sheetName val="Exhibit 7.2 - BS Method"/>
      <sheetName val="Exh_7.3_Paid_BS__Latest_Yr"/>
      <sheetName val="Exhibit 7.4 - BS Method"/>
      <sheetName val="Exh8 Agenda"/>
      <sheetName val="Exh3.1 Agenda"/>
      <sheetName val="Summary_of_Alts"/>
      <sheetName val="Exh3Incurred3YrAve"/>
      <sheetName val="Exh7.1_ Incurred3YrAve"/>
      <sheetName val="Exh7.3_ Incurred3YrAve"/>
      <sheetName val="Exh7.3_ Incrd3YrAve-For Mark "/>
      <sheetName val="Exh3IncurredLatestYear"/>
      <sheetName val="Exh7.1_IncurredLatYr"/>
      <sheetName val="Exh7.3_ IncurredLatYr"/>
      <sheetName val="Exh7.3_ IncredLatYr-For Mark"/>
      <sheetName val="Exh3IncurredLatestYearReformAdj"/>
      <sheetName val="Exh7.1_IncurredLatYrReformAdj"/>
      <sheetName val="Exh7.3_ IncurredLatYrReformAdj"/>
      <sheetName val="Exh3_Incurred_BS_Method"/>
      <sheetName val="Exh7.1_Incurred_BS_Ind"/>
      <sheetName val="Exh7.3_Incurred_BS_Med"/>
      <sheetName val="Exh3_Inc_BS_Method-3yr Avg"/>
      <sheetName val="Exh7.1_Incurred_BS_Ind-3yr Avg"/>
      <sheetName val="Exh7.3_Incurred_BS_Med-3yr Avg"/>
      <sheetName val="Exh3_UnadjPaid_3YrAve"/>
      <sheetName val="Exh7.1_ UnadjPaid_3YrAve"/>
      <sheetName val="Exh7.3_ Unadj_Paid_3YrAve"/>
      <sheetName val="Exh3_Unadj_Paid_Latest_Year"/>
      <sheetName val="Exh7.1_Unadj_Paid_Latest_Year"/>
      <sheetName val="Exh7.3_Unadj_Paid_Latest_Year"/>
      <sheetName val="Exh3_Paid_Latest_Year_375"/>
      <sheetName val="Exh7.1_Paid_Latest_Year_375"/>
      <sheetName val="Exh7.3_Paid_Latest_Year_375"/>
      <sheetName val="Exh3_Latest Yr Pd Reform Adj"/>
      <sheetName val="Exh7.1_Latest Yr Pd Reform Adj"/>
      <sheetName val="Exh7.3_Latest Yr Pd Reform Adj"/>
      <sheetName val="Exh3_Paid_BS_3-Yr Avg"/>
      <sheetName val="Exh_7.1_Paid_BS_3-Yr Avg"/>
      <sheetName val="Exh_7.3_Paid_BS_3-Yr Avg"/>
      <sheetName val="Exh3_Paid_BS_Latest_Year"/>
      <sheetName val="Exh_7.1_Trend_Latest_Year"/>
      <sheetName val="Exh_7.3_Trend_Latest_Year"/>
      <sheetName val="Exh_7.1_Trend_Ind Avg Severity"/>
      <sheetName val="Exh_7.3_Trend_Med Avg Severity"/>
      <sheetName val="Post_05_LR Trend_Exh_7.1"/>
      <sheetName val="Post_05_LR Trend_Exh_7.3"/>
      <sheetName val="5Yr_LR Trend_Exh_7.1"/>
      <sheetName val="5Yr_LR Trend_Exh_7.3"/>
      <sheetName val="5Yr_LR Fitted Trend_Exh_7.1"/>
      <sheetName val="5Yr_LR Fitted Trend_Exh_7.3"/>
      <sheetName val="Exh2_3_SB863_BS_Method_Avg"/>
      <sheetName val="Exh3_Selected_w Ult351Inc Tail"/>
      <sheetName val="Exh_7.1_Select_w_Ult351Inc Tail"/>
      <sheetName val="Exh_7.3_Select_w_Ult351Inc_Tail"/>
      <sheetName val="Exh3_Reforms_SB863_RBRVS_Only"/>
      <sheetName val="Exh_7.1_Reforms_SB863_RBRVS_Onl"/>
      <sheetName val="Exh_7.3_Reforms_SB863_RBRVS_Onl"/>
      <sheetName val="Exh7.1_Paid_BF_to_27_CL_to_Ult"/>
      <sheetName val="Exh7.3_Paid_BF_to_27_CL_to_Ult"/>
      <sheetName val="Exh2_3_BS_x_Reforms "/>
      <sheetName val="Exh2_4_BS_x_Reforms"/>
      <sheetName val="Exh3_Paid_BS_x_Reforms"/>
      <sheetName val="Exh_7.1_Paid_BS_x_Reforms"/>
      <sheetName val="Exh_7.1_SB863+Post10LR Trend"/>
      <sheetName val="Exh_7.3_SB863+Post10LR Trend"/>
      <sheetName val="Post_08_Sev_Trend_Exh_7.1 "/>
      <sheetName val="Post_08_Sev_Trend_Exh_7.3 "/>
      <sheetName val="Exh_4.4 SB863 + 2.5%MoreSB863"/>
      <sheetName val="Exh_7.3_Trend_+ 2.5% xtra SB863"/>
      <sheetName val="Post_08_Sev_Trend_Exh_7.1"/>
      <sheetName val="Post_08_Sev_Trend_Exh_7.3"/>
      <sheetName val="Exh7.1_Avg Exp_&amp;_FullConst_Trd"/>
      <sheetName val="Exh7.3_Avg Exp_&amp;_FullConst_Trd"/>
      <sheetName val="Exh_7.1_Mod_Freq_notempconst"/>
      <sheetName val="Exh_7.3_Mod_Freq_notempconst"/>
      <sheetName val="Exh_7.1_Avg_Trd1_&amp;_Trd3"/>
      <sheetName val="Exh_7.3_Avg_Trd1_&amp;_Trd3"/>
      <sheetName val="Exh_4.4 with SB863 CDI Method"/>
      <sheetName val="Exh_7.3_CDI_Trend"/>
      <sheetName val="Exh3 Pd 3 yr-ave (Unadj)"/>
      <sheetName val="Exh7.1_Pd 3YrAvg"/>
      <sheetName val="Exh3Pd_LatestYr_Unadj"/>
      <sheetName val="Exh7.1Pd_LatestYr_Unadj"/>
      <sheetName val="Post_04_Trend_no_wage_Exh_7.1"/>
      <sheetName val="Post_04_Trend_no_wage_Exh_7.3"/>
      <sheetName val="ExpTrend2_4(1)"/>
    </sheetNames>
    <sheetDataSet>
      <sheetData sheetId="0"/>
      <sheetData sheetId="1"/>
      <sheetData sheetId="2">
        <row r="43">
          <cell r="I43">
            <v>1.004</v>
          </cell>
        </row>
      </sheetData>
      <sheetData sheetId="3"/>
      <sheetData sheetId="4">
        <row r="42">
          <cell r="I42">
            <v>1.0309999999999999</v>
          </cell>
        </row>
      </sheetData>
      <sheetData sheetId="5"/>
      <sheetData sheetId="6"/>
      <sheetData sheetId="7">
        <row r="6">
          <cell r="AJ6">
            <v>2017</v>
          </cell>
          <cell r="AL6" t="str">
            <v>Pd 18/6</v>
          </cell>
          <cell r="AM6">
            <v>9.9090000000000007</v>
          </cell>
          <cell r="AN6" t="str">
            <v>Ult/8/6Pd</v>
          </cell>
          <cell r="AO6">
            <v>50.373749493460302</v>
          </cell>
          <cell r="AP6">
            <v>53.385092238179361</v>
          </cell>
        </row>
        <row r="7">
          <cell r="AJ7">
            <v>2016</v>
          </cell>
          <cell r="AK7">
            <v>0</v>
          </cell>
          <cell r="AL7" t="str">
            <v>Pd 30/18</v>
          </cell>
          <cell r="AM7">
            <v>2.056</v>
          </cell>
          <cell r="AN7" t="str">
            <v>Ult//18Pd</v>
          </cell>
          <cell r="AO7">
            <v>5.0836360372853262</v>
          </cell>
          <cell r="AP7">
            <v>5.3875357995942421</v>
          </cell>
        </row>
        <row r="8">
          <cell r="AJ8">
            <v>2015</v>
          </cell>
          <cell r="AK8">
            <v>0</v>
          </cell>
          <cell r="AL8" t="str">
            <v>Pd 42/30</v>
          </cell>
          <cell r="AM8">
            <v>1.3959999999999999</v>
          </cell>
          <cell r="AN8" t="str">
            <v>Ult//30Pd</v>
          </cell>
          <cell r="AO8">
            <v>2.4725856212477266</v>
          </cell>
          <cell r="AP8">
            <v>2.6203967896859153</v>
          </cell>
        </row>
        <row r="9">
          <cell r="AJ9">
            <v>2014</v>
          </cell>
          <cell r="AK9">
            <v>0</v>
          </cell>
          <cell r="AL9" t="str">
            <v>Pd 54/42</v>
          </cell>
          <cell r="AM9">
            <v>1.1819999999999999</v>
          </cell>
          <cell r="AN9" t="str">
            <v>Ult//42Pd</v>
          </cell>
          <cell r="AO9">
            <v>1.7711931384296038</v>
          </cell>
          <cell r="AP9">
            <v>1.8770750642449254</v>
          </cell>
        </row>
        <row r="10">
          <cell r="AJ10">
            <v>2013</v>
          </cell>
          <cell r="AK10">
            <v>0</v>
          </cell>
          <cell r="AL10" t="str">
            <v>Pd 66/54</v>
          </cell>
          <cell r="AM10">
            <v>1.1080000000000001</v>
          </cell>
          <cell r="AN10" t="str">
            <v>Ult//54Pd</v>
          </cell>
          <cell r="AO10">
            <v>1.4984713523093096</v>
          </cell>
          <cell r="AP10">
            <v>1.5284407793554959</v>
          </cell>
        </row>
        <row r="11">
          <cell r="AJ11">
            <v>2012</v>
          </cell>
          <cell r="AK11">
            <v>0</v>
          </cell>
          <cell r="AL11" t="str">
            <v>Pd 78/66</v>
          </cell>
          <cell r="AM11">
            <v>1.069</v>
          </cell>
          <cell r="AN11" t="str">
            <v>Ult//66Pd</v>
          </cell>
          <cell r="AO11">
            <v>1.3524109677881855</v>
          </cell>
          <cell r="AP11">
            <v>1.3524109677881855</v>
          </cell>
        </row>
        <row r="12">
          <cell r="AJ12">
            <v>2011</v>
          </cell>
          <cell r="AK12">
            <v>0</v>
          </cell>
          <cell r="AL12" t="str">
            <v>Pd 90/78</v>
          </cell>
          <cell r="AM12">
            <v>1.0469999999999999</v>
          </cell>
          <cell r="AN12" t="str">
            <v>Ult//78Pd</v>
          </cell>
          <cell r="AO12">
            <v>1.2651178370329144</v>
          </cell>
          <cell r="AP12">
            <v>1.2651178370329144</v>
          </cell>
        </row>
        <row r="13">
          <cell r="AJ13">
            <v>2010</v>
          </cell>
          <cell r="AK13">
            <v>0</v>
          </cell>
          <cell r="AL13" t="str">
            <v>Pd 102/90</v>
          </cell>
          <cell r="AM13">
            <v>1.0369999999999999</v>
          </cell>
          <cell r="AN13" t="str">
            <v>Ult//90Pd</v>
          </cell>
          <cell r="AO13">
            <v>1.2083264919130032</v>
          </cell>
          <cell r="AP13">
            <v>1.2083264919130032</v>
          </cell>
        </row>
        <row r="14">
          <cell r="AJ14">
            <v>2009</v>
          </cell>
          <cell r="AK14">
            <v>0</v>
          </cell>
          <cell r="AL14" t="str">
            <v>Pd 114/102</v>
          </cell>
          <cell r="AM14">
            <v>1.024</v>
          </cell>
          <cell r="AN14" t="str">
            <v>Ult/102Pd</v>
          </cell>
          <cell r="AO14">
            <v>1.1652135891157216</v>
          </cell>
          <cell r="AP14">
            <v>1.1652135891157216</v>
          </cell>
        </row>
        <row r="15">
          <cell r="AJ15">
            <v>2008</v>
          </cell>
          <cell r="AK15">
            <v>0</v>
          </cell>
          <cell r="AL15" t="str">
            <v>Pd 126/114</v>
          </cell>
          <cell r="AM15">
            <v>1.0236666666666665</v>
          </cell>
          <cell r="AN15" t="str">
            <v>Ult/114Pd</v>
          </cell>
          <cell r="AO15">
            <v>1.1379038956208218</v>
          </cell>
          <cell r="AP15">
            <v>1.1379038956208218</v>
          </cell>
        </row>
        <row r="16">
          <cell r="AJ16">
            <v>2007</v>
          </cell>
          <cell r="AK16">
            <v>0</v>
          </cell>
          <cell r="AL16" t="str">
            <v>Pd 138/126</v>
          </cell>
          <cell r="AM16">
            <v>1.018</v>
          </cell>
          <cell r="AN16" t="str">
            <v>Ult/126Pd</v>
          </cell>
          <cell r="AO16">
            <v>1.1115961207627698</v>
          </cell>
          <cell r="AP16">
            <v>1.1115961207627698</v>
          </cell>
        </row>
        <row r="17">
          <cell r="AJ17">
            <v>2006</v>
          </cell>
          <cell r="AK17">
            <v>0</v>
          </cell>
          <cell r="AL17" t="str">
            <v>Pd 150/138</v>
          </cell>
          <cell r="AM17">
            <v>1.0136666666666667</v>
          </cell>
          <cell r="AN17" t="str">
            <v>Ult/138Pd</v>
          </cell>
          <cell r="AO17">
            <v>1.091941179531208</v>
          </cell>
          <cell r="AP17">
            <v>1.091941179531208</v>
          </cell>
        </row>
        <row r="18">
          <cell r="AJ18">
            <v>2005</v>
          </cell>
          <cell r="AK18">
            <v>0</v>
          </cell>
          <cell r="AL18" t="str">
            <v>Pd 162/150</v>
          </cell>
          <cell r="AM18">
            <v>1.0096666666666667</v>
          </cell>
          <cell r="AN18" t="str">
            <v>Ult/150Pd</v>
          </cell>
          <cell r="AO18">
            <v>1.0772191840163181</v>
          </cell>
          <cell r="AP18">
            <v>1.0772191840163181</v>
          </cell>
        </row>
        <row r="19">
          <cell r="AJ19">
            <v>2004</v>
          </cell>
          <cell r="AK19">
            <v>0</v>
          </cell>
          <cell r="AL19" t="str">
            <v>Pd 174/162</v>
          </cell>
          <cell r="AM19">
            <v>1.0076666666666667</v>
          </cell>
          <cell r="AN19" t="str">
            <v>Ult/162Pd</v>
          </cell>
          <cell r="AO19">
            <v>1.0669057616536659</v>
          </cell>
          <cell r="AP19">
            <v>1.0669057616536659</v>
          </cell>
        </row>
        <row r="20">
          <cell r="AJ20">
            <v>2003</v>
          </cell>
          <cell r="AK20">
            <v>0</v>
          </cell>
          <cell r="AL20" t="str">
            <v>Pd 186/174</v>
          </cell>
          <cell r="AM20">
            <v>1.006</v>
          </cell>
          <cell r="AN20" t="str">
            <v>Ult/174Pd</v>
          </cell>
          <cell r="AO20">
            <v>1.0587883840426719</v>
          </cell>
          <cell r="AP20">
            <v>1.0587883840426719</v>
          </cell>
        </row>
        <row r="21">
          <cell r="AJ21">
            <v>2002</v>
          </cell>
          <cell r="AK21">
            <v>0</v>
          </cell>
          <cell r="AL21" t="str">
            <v>Pd 198/186</v>
          </cell>
          <cell r="AM21">
            <v>1.0049999999999999</v>
          </cell>
          <cell r="AN21" t="str">
            <v>Ult/186Pd</v>
          </cell>
          <cell r="AO21">
            <v>1.0524735427859562</v>
          </cell>
          <cell r="AP21">
            <v>1.0524735427859562</v>
          </cell>
        </row>
        <row r="22">
          <cell r="AJ22">
            <v>2001</v>
          </cell>
          <cell r="AK22">
            <v>0</v>
          </cell>
          <cell r="AL22" t="str">
            <v>Pd 210/198</v>
          </cell>
          <cell r="AM22">
            <v>1.0046666666666666</v>
          </cell>
          <cell r="AN22" t="str">
            <v>Ult/198Pd</v>
          </cell>
          <cell r="AO22">
            <v>1.0472373560059267</v>
          </cell>
          <cell r="AP22">
            <v>1.0472373560059267</v>
          </cell>
        </row>
        <row r="23">
          <cell r="AJ23">
            <v>2000</v>
          </cell>
          <cell r="AK23">
            <v>0</v>
          </cell>
          <cell r="AL23" t="str">
            <v>Pd 222/210</v>
          </cell>
          <cell r="AM23">
            <v>1.0043333333333333</v>
          </cell>
          <cell r="AN23" t="str">
            <v>Ult/210Pd</v>
          </cell>
          <cell r="AO23">
            <v>1.0423729489110087</v>
          </cell>
          <cell r="AP23">
            <v>1.0423729489110087</v>
          </cell>
        </row>
        <row r="24">
          <cell r="AJ24">
            <v>1999</v>
          </cell>
          <cell r="AK24">
            <v>0</v>
          </cell>
          <cell r="AL24" t="str">
            <v>Pd 234/222</v>
          </cell>
          <cell r="AM24">
            <v>1.0036666666666665</v>
          </cell>
          <cell r="AN24" t="str">
            <v>Ult/222Pd</v>
          </cell>
          <cell r="AO24">
            <v>1.0378754884610111</v>
          </cell>
          <cell r="AP24">
            <v>1.0378754884610111</v>
          </cell>
        </row>
        <row r="25">
          <cell r="AJ25">
            <v>1998</v>
          </cell>
          <cell r="AK25">
            <v>0</v>
          </cell>
          <cell r="AL25" t="str">
            <v>Inc 246/234</v>
          </cell>
          <cell r="AM25">
            <v>1.0006666666666666</v>
          </cell>
          <cell r="AN25" t="str">
            <v>Ult/234Inc</v>
          </cell>
          <cell r="AO25">
            <v>1.0095188880763055</v>
          </cell>
          <cell r="AP25">
            <v>1.0095188880763055</v>
          </cell>
        </row>
        <row r="26">
          <cell r="AJ26">
            <v>1997</v>
          </cell>
          <cell r="AK26">
            <v>0</v>
          </cell>
          <cell r="AL26" t="str">
            <v>Inc 258/246</v>
          </cell>
          <cell r="AM26">
            <v>1.0006666666666666</v>
          </cell>
          <cell r="AN26" t="str">
            <v>Ult/246Inc</v>
          </cell>
          <cell r="AO26">
            <v>1.0088463238603986</v>
          </cell>
          <cell r="AP26">
            <v>1.0088463238603986</v>
          </cell>
        </row>
        <row r="27">
          <cell r="AJ27">
            <v>1996</v>
          </cell>
          <cell r="AK27">
            <v>0</v>
          </cell>
          <cell r="AL27" t="str">
            <v>Inc 270/258</v>
          </cell>
          <cell r="AM27">
            <v>1.0004999999999999</v>
          </cell>
          <cell r="AN27" t="str">
            <v>Ult/258Inc</v>
          </cell>
          <cell r="AO27">
            <v>1.0081742077219173</v>
          </cell>
          <cell r="AP27">
            <v>1.0081742077219173</v>
          </cell>
        </row>
        <row r="28">
          <cell r="AJ28">
            <v>1995</v>
          </cell>
          <cell r="AK28">
            <v>0</v>
          </cell>
          <cell r="AL28" t="str">
            <v>Inc 282/270</v>
          </cell>
          <cell r="AM28">
            <v>1</v>
          </cell>
          <cell r="AN28" t="str">
            <v>Ult/270Inc</v>
          </cell>
          <cell r="AO28">
            <v>1.0076703725356495</v>
          </cell>
          <cell r="AP28">
            <v>1.0076703725356495</v>
          </cell>
        </row>
        <row r="29">
          <cell r="AJ29">
            <v>1994</v>
          </cell>
          <cell r="AK29">
            <v>0</v>
          </cell>
          <cell r="AL29" t="str">
            <v>Inc 294/282</v>
          </cell>
          <cell r="AM29">
            <v>1.0006666666666666</v>
          </cell>
          <cell r="AN29" t="str">
            <v>Ult/282Inc</v>
          </cell>
          <cell r="AO29">
            <v>1.0076703725356495</v>
          </cell>
          <cell r="AP29">
            <v>1.0076703725356495</v>
          </cell>
        </row>
        <row r="30">
          <cell r="AJ30">
            <v>1993</v>
          </cell>
          <cell r="AK30">
            <v>0</v>
          </cell>
          <cell r="AL30" t="str">
            <v>Inc 306/294</v>
          </cell>
          <cell r="AM30">
            <v>1.0003333333333333</v>
          </cell>
          <cell r="AN30" t="str">
            <v>Ult/294Inc</v>
          </cell>
          <cell r="AO30">
            <v>1.0069990398424213</v>
          </cell>
          <cell r="AP30">
            <v>1.0069990398424213</v>
          </cell>
        </row>
        <row r="31">
          <cell r="AJ31">
            <v>1992</v>
          </cell>
          <cell r="AK31">
            <v>0</v>
          </cell>
          <cell r="AL31" t="str">
            <v>Inc 318/306</v>
          </cell>
          <cell r="AM31">
            <v>1.0004999999999999</v>
          </cell>
          <cell r="AN31" t="str">
            <v>Ult/306Inc</v>
          </cell>
          <cell r="AO31">
            <v>1.0066634853473055</v>
          </cell>
          <cell r="AP31">
            <v>1.0066634853473055</v>
          </cell>
        </row>
        <row r="32">
          <cell r="AJ32">
            <v>1991</v>
          </cell>
          <cell r="AK32">
            <v>0</v>
          </cell>
          <cell r="AL32" t="str">
            <v>Inc 330/318</v>
          </cell>
          <cell r="AM32">
            <v>1.0006666666666666</v>
          </cell>
          <cell r="AN32" t="str">
            <v>Ult/318Inc</v>
          </cell>
          <cell r="AO32">
            <v>1.0061604051447333</v>
          </cell>
          <cell r="AP32">
            <v>1.0061604051447333</v>
          </cell>
        </row>
        <row r="33">
          <cell r="AJ33">
            <v>1990</v>
          </cell>
          <cell r="AK33">
            <v>0</v>
          </cell>
          <cell r="AL33" t="str">
            <v>Inc 342/330</v>
          </cell>
          <cell r="AM33">
            <v>1.0003333333333333</v>
          </cell>
          <cell r="AN33" t="str">
            <v>Ult/330Inc</v>
          </cell>
          <cell r="AO33">
            <v>1.0054900784257828</v>
          </cell>
          <cell r="AP33">
            <v>1.0054900784257828</v>
          </cell>
        </row>
        <row r="34">
          <cell r="AJ34">
            <v>1989</v>
          </cell>
          <cell r="AK34">
            <v>0</v>
          </cell>
          <cell r="AL34" t="str">
            <v>Inc 354/342</v>
          </cell>
          <cell r="AM34">
            <v>1.0004999999999999</v>
          </cell>
          <cell r="AN34" t="str">
            <v>Ult/342Inc</v>
          </cell>
          <cell r="AO34">
            <v>1.0051550267501994</v>
          </cell>
          <cell r="AP34">
            <v>1.0051550267501994</v>
          </cell>
        </row>
        <row r="35">
          <cell r="AJ35">
            <v>1988</v>
          </cell>
          <cell r="AK35">
            <v>0</v>
          </cell>
          <cell r="AL35" t="str">
            <v>Inc 366/354</v>
          </cell>
          <cell r="AM35">
            <v>1.0003999999999997</v>
          </cell>
          <cell r="AN35" t="str">
            <v>Ult/354Inc</v>
          </cell>
          <cell r="AO35">
            <v>1.0046527003999994</v>
          </cell>
          <cell r="AP35">
            <v>1.0046527003999994</v>
          </cell>
        </row>
        <row r="36">
          <cell r="AJ36">
            <v>1987</v>
          </cell>
          <cell r="AK36">
            <v>0</v>
          </cell>
          <cell r="AL36" t="str">
            <v>Inc 378/366</v>
          </cell>
          <cell r="AM36">
            <v>1.0002499999999999</v>
          </cell>
          <cell r="AN36" t="str">
            <v>Ult/366Inc</v>
          </cell>
          <cell r="AO36">
            <v>1.0042509999999998</v>
          </cell>
          <cell r="AP36">
            <v>1.0042509999999998</v>
          </cell>
        </row>
        <row r="37">
          <cell r="AJ37">
            <v>1986</v>
          </cell>
          <cell r="AK37">
            <v>0</v>
          </cell>
          <cell r="AL37" t="str">
            <v>Inc 390/378</v>
          </cell>
          <cell r="AM37">
            <v>1</v>
          </cell>
          <cell r="AN37" t="str">
            <v>Ult/378Inc</v>
          </cell>
          <cell r="AO37">
            <v>1.004</v>
          </cell>
          <cell r="AP37">
            <v>1.004</v>
          </cell>
        </row>
      </sheetData>
      <sheetData sheetId="8"/>
      <sheetData sheetId="9"/>
      <sheetData sheetId="10"/>
      <sheetData sheetId="11">
        <row r="6">
          <cell r="J6">
            <v>2016</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2">
          <cell r="BM2">
            <v>2000</v>
          </cell>
          <cell r="BN2">
            <v>2001</v>
          </cell>
          <cell r="BO2">
            <v>2002</v>
          </cell>
          <cell r="BP2">
            <v>2003</v>
          </cell>
          <cell r="BQ2">
            <v>2004</v>
          </cell>
          <cell r="BR2">
            <v>2005</v>
          </cell>
          <cell r="BS2">
            <v>2006</v>
          </cell>
          <cell r="BT2">
            <v>2007</v>
          </cell>
          <cell r="BU2">
            <v>2008</v>
          </cell>
          <cell r="BV2">
            <v>2009</v>
          </cell>
          <cell r="BW2">
            <v>2010</v>
          </cell>
          <cell r="BX2">
            <v>2011</v>
          </cell>
          <cell r="BY2">
            <v>2012</v>
          </cell>
          <cell r="BZ2">
            <v>2013</v>
          </cell>
          <cell r="CA2">
            <v>2014</v>
          </cell>
          <cell r="CB2">
            <v>2015</v>
          </cell>
          <cell r="CC2">
            <v>2016</v>
          </cell>
          <cell r="CD2">
            <v>2017</v>
          </cell>
          <cell r="CE2">
            <v>2018</v>
          </cell>
          <cell r="CF2">
            <v>2019</v>
          </cell>
          <cell r="CG2">
            <v>2020</v>
          </cell>
          <cell r="CH2">
            <v>0</v>
          </cell>
          <cell r="CI2">
            <v>0</v>
          </cell>
        </row>
        <row r="3">
          <cell r="BM3">
            <v>3.3768572714992904</v>
          </cell>
          <cell r="BN3">
            <v>2.8261711188540506</v>
          </cell>
          <cell r="BO3">
            <v>1.5860316265060423</v>
          </cell>
          <cell r="BP3">
            <v>2.2700949733611355</v>
          </cell>
          <cell r="BQ3">
            <v>2.6772366930917388</v>
          </cell>
          <cell r="BR3">
            <v>3.3927468454954695</v>
          </cell>
          <cell r="BS3">
            <v>3.2259441007040652</v>
          </cell>
          <cell r="BT3">
            <v>2.8526724815013895</v>
          </cell>
          <cell r="BU3">
            <v>3.8391002966509746</v>
          </cell>
          <cell r="BV3">
            <v>-0.3555462662997424</v>
          </cell>
          <cell r="BW3">
            <v>1.6400434423898986</v>
          </cell>
          <cell r="BX3">
            <v>3.1568415686220437</v>
          </cell>
          <cell r="BY3">
            <v>2.0693372652606232</v>
          </cell>
          <cell r="BZ3">
            <v>1.4648326556271045</v>
          </cell>
          <cell r="CA3">
            <v>1.6222229774082195</v>
          </cell>
          <cell r="CB3">
            <v>0.11862713555245909</v>
          </cell>
          <cell r="CC3">
            <v>1.2615832057053273</v>
          </cell>
          <cell r="CD3">
            <v>2.316352783499656</v>
          </cell>
          <cell r="CE3">
            <v>2.3055768166938981</v>
          </cell>
          <cell r="CF3">
            <v>2.2513818666130763</v>
          </cell>
          <cell r="CG3">
            <v>2.1661014437844774</v>
          </cell>
          <cell r="CH3">
            <v>0</v>
          </cell>
          <cell r="CI3">
            <v>0</v>
          </cell>
        </row>
        <row r="4">
          <cell r="BM4">
            <v>2.4343158489499812</v>
          </cell>
          <cell r="BN4">
            <v>2.6706504251896126</v>
          </cell>
          <cell r="BO4">
            <v>2.3191260744985809</v>
          </cell>
          <cell r="BP4">
            <v>1.4570753478603187</v>
          </cell>
          <cell r="BQ4">
            <v>1.7596066761547446</v>
          </cell>
          <cell r="BR4">
            <v>2.1699512608603437</v>
          </cell>
          <cell r="BS4">
            <v>2.501348156137253</v>
          </cell>
          <cell r="BT4">
            <v>2.337070012140797</v>
          </cell>
          <cell r="BU4">
            <v>2.2979346704635573</v>
          </cell>
          <cell r="BV4">
            <v>1.6994361499548867</v>
          </cell>
          <cell r="BW4">
            <v>0.9585604488334506</v>
          </cell>
          <cell r="BX4">
            <v>1.6585606079431054</v>
          </cell>
          <cell r="BY4">
            <v>2.1100037406160186</v>
          </cell>
          <cell r="BZ4">
            <v>1.7630724299997582</v>
          </cell>
          <cell r="CA4">
            <v>1.749670577911691</v>
          </cell>
          <cell r="CB4">
            <v>1.8284192617175308</v>
          </cell>
          <cell r="CC4">
            <v>2.2109022558977531</v>
          </cell>
          <cell r="CD4">
            <v>2.1395163888984792</v>
          </cell>
          <cell r="CE4">
            <v>2.5102383207959185</v>
          </cell>
          <cell r="CF4">
            <v>1.9490737702990657</v>
          </cell>
          <cell r="CG4">
            <v>1.8765568380980511</v>
          </cell>
          <cell r="CH4">
            <v>0</v>
          </cell>
          <cell r="CI4">
            <v>0</v>
          </cell>
        </row>
        <row r="5">
          <cell r="BM5">
            <v>2.2648791387365441</v>
          </cell>
          <cell r="BN5">
            <v>3.1383454166252935</v>
          </cell>
          <cell r="BO5">
            <v>1.8103033220991771</v>
          </cell>
          <cell r="BP5">
            <v>2.1327910715974769</v>
          </cell>
          <cell r="BQ5">
            <v>3.4449229059591699</v>
          </cell>
          <cell r="BR5">
            <v>2.4439371559016956</v>
          </cell>
          <cell r="BS5">
            <v>2.3332022545549664</v>
          </cell>
          <cell r="BT5">
            <v>3.9661414969472117</v>
          </cell>
          <cell r="BU5">
            <v>5.5148458454260867</v>
          </cell>
          <cell r="BV5">
            <v>1.7975484932142689</v>
          </cell>
          <cell r="BW5">
            <v>0.76621291619335352</v>
          </cell>
          <cell r="BX5">
            <v>3.7411103239953141</v>
          </cell>
          <cell r="BY5">
            <v>2.6052467760848375</v>
          </cell>
          <cell r="BZ5">
            <v>1.3943111108576336</v>
          </cell>
          <cell r="CA5">
            <v>2.3994504372209202</v>
          </cell>
          <cell r="CB5">
            <v>1.8582109895512431</v>
          </cell>
          <cell r="CC5">
            <v>0.28168226025325155</v>
          </cell>
          <cell r="CD5">
            <v>1.0810971496073039</v>
          </cell>
          <cell r="CE5">
            <v>2.1138819387738486</v>
          </cell>
          <cell r="CF5">
            <v>2.7252223238086284</v>
          </cell>
          <cell r="CG5">
            <v>2.6172036040460465</v>
          </cell>
          <cell r="CH5">
            <v>0</v>
          </cell>
          <cell r="CI5">
            <v>0</v>
          </cell>
        </row>
        <row r="6">
          <cell r="BM6">
            <v>2.2380106571936129</v>
          </cell>
          <cell r="BN6">
            <v>3.2661570535093909</v>
          </cell>
          <cell r="BO6">
            <v>1.2978273408959815</v>
          </cell>
          <cell r="BP6">
            <v>2.1495681882888902</v>
          </cell>
          <cell r="BQ6">
            <v>3.785943234078113</v>
          </cell>
          <cell r="BR6">
            <v>1.9291021394682675</v>
          </cell>
          <cell r="BS6">
            <v>1.7608571554033299</v>
          </cell>
          <cell r="BT6">
            <v>4.209027358246324</v>
          </cell>
          <cell r="BU6">
            <v>6.4002418279543321</v>
          </cell>
          <cell r="BV6">
            <v>0.46623820491284595</v>
          </cell>
          <cell r="BW6">
            <v>0.33097267383619988</v>
          </cell>
          <cell r="BX6">
            <v>4.8022683942168953</v>
          </cell>
          <cell r="BY6">
            <v>2.4637434488429419</v>
          </cell>
          <cell r="BZ6">
            <v>0.90407948564726559</v>
          </cell>
          <cell r="CA6">
            <v>2.3889807217504577</v>
          </cell>
          <cell r="CB6">
            <v>1.1668114392623326</v>
          </cell>
          <cell r="CC6">
            <v>-1.3147230822153479</v>
          </cell>
          <cell r="CD6">
            <v>0.10194225352162843</v>
          </cell>
          <cell r="CE6">
            <v>1.7302784007621783</v>
          </cell>
          <cell r="CF6">
            <v>2.6818361371318091</v>
          </cell>
          <cell r="CG6">
            <v>2.5242112569051631</v>
          </cell>
          <cell r="CH6">
            <v>0</v>
          </cell>
          <cell r="CI6">
            <v>0</v>
          </cell>
        </row>
        <row r="7">
          <cell r="BM7">
            <v>2.3521098324247887</v>
          </cell>
          <cell r="BN7">
            <v>2.8799684387020461</v>
          </cell>
          <cell r="BO7">
            <v>2.5548844789569531</v>
          </cell>
          <cell r="BP7">
            <v>2.1360130871699017</v>
          </cell>
          <cell r="BQ7">
            <v>2.9699798645433062</v>
          </cell>
          <cell r="BR7">
            <v>3.1509710679525189</v>
          </cell>
          <cell r="BS7">
            <v>3.0848772080999582</v>
          </cell>
          <cell r="BT7">
            <v>3.6490846777564299</v>
          </cell>
          <cell r="BU7">
            <v>4.4083490193991102</v>
          </cell>
          <cell r="BV7">
            <v>3.4771714072633797</v>
          </cell>
          <cell r="BW7">
            <v>1.2727007389718927</v>
          </cell>
          <cell r="BX7">
            <v>2.3385010920031668</v>
          </cell>
          <cell r="BY7">
            <v>2.845851396600573</v>
          </cell>
          <cell r="BZ7">
            <v>2.1354152441419973</v>
          </cell>
          <cell r="CA7">
            <v>2.4324761675549791</v>
          </cell>
          <cell r="CB7">
            <v>2.8594876518396717</v>
          </cell>
          <cell r="CC7">
            <v>2.5750290901233992</v>
          </cell>
          <cell r="CD7">
            <v>2.442014577089298</v>
          </cell>
          <cell r="CE7">
            <v>2.6347427993227464</v>
          </cell>
          <cell r="CF7">
            <v>2.7836213700958194</v>
          </cell>
          <cell r="CG7">
            <v>2.74225000445449</v>
          </cell>
          <cell r="CH7">
            <v>0</v>
          </cell>
          <cell r="CI7">
            <v>0</v>
          </cell>
        </row>
        <row r="8">
          <cell r="BM8">
            <v>2.9118585808985982</v>
          </cell>
          <cell r="BN8">
            <v>2.6529248974138708</v>
          </cell>
          <cell r="BO8">
            <v>2.4077344984661133</v>
          </cell>
          <cell r="BP8">
            <v>1.9471677559912792</v>
          </cell>
          <cell r="BQ8">
            <v>2.6490361070299837</v>
          </cell>
          <cell r="BR8">
            <v>1.9734559333795774</v>
          </cell>
          <cell r="BS8">
            <v>2.4456637318701984</v>
          </cell>
          <cell r="BT8">
            <v>3.1432367350328123</v>
          </cell>
          <cell r="BU8">
            <v>3.6024921225548456</v>
          </cell>
          <cell r="BV8">
            <v>2.9221716485902904</v>
          </cell>
          <cell r="BW8">
            <v>1.1503139278887204</v>
          </cell>
          <cell r="BX8">
            <v>1.5199918790455387</v>
          </cell>
          <cell r="BY8">
            <v>1.8152602587441551</v>
          </cell>
          <cell r="BZ8">
            <v>1.6567404259467617</v>
          </cell>
          <cell r="CA8">
            <v>1.1427891514057895</v>
          </cell>
          <cell r="CB8">
            <v>0.93778916336425122</v>
          </cell>
          <cell r="CC8">
            <v>1.2507132022432599</v>
          </cell>
          <cell r="CD8">
            <v>1.642886840233533</v>
          </cell>
          <cell r="CE8">
            <v>2.0751840922374196</v>
          </cell>
          <cell r="CF8">
            <v>2.05637034570114</v>
          </cell>
          <cell r="CG8">
            <v>2.0419607088118736</v>
          </cell>
          <cell r="CH8">
            <v>0</v>
          </cell>
          <cell r="CI8">
            <v>0</v>
          </cell>
        </row>
        <row r="9">
          <cell r="BM9">
            <v>3.2530817498108684</v>
          </cell>
          <cell r="BN9">
            <v>3.7281268856132996</v>
          </cell>
          <cell r="BO9">
            <v>3.7561806623176821</v>
          </cell>
          <cell r="BP9">
            <v>2.4148011693564708</v>
          </cell>
          <cell r="BQ9">
            <v>2.6863220458278181</v>
          </cell>
          <cell r="BR9">
            <v>2.5513118312326046</v>
          </cell>
          <cell r="BS9">
            <v>3.4347035015409921</v>
          </cell>
          <cell r="BT9">
            <v>3.6518882825961954</v>
          </cell>
          <cell r="BU9">
            <v>2.5168607504449882</v>
          </cell>
          <cell r="BV9">
            <v>1.0896632665505777</v>
          </cell>
          <cell r="BW9">
            <v>-0.38422578854512884</v>
          </cell>
          <cell r="BX9">
            <v>1.3082260394517515</v>
          </cell>
          <cell r="BY9">
            <v>2.1608749601374018</v>
          </cell>
          <cell r="BZ9">
            <v>2.3230779104843493</v>
          </cell>
          <cell r="CA9">
            <v>2.8348553491037718</v>
          </cell>
          <cell r="CB9">
            <v>3.0644245070168967</v>
          </cell>
          <cell r="CC9">
            <v>3.3813641189467463</v>
          </cell>
          <cell r="CD9">
            <v>3.6631110038952759</v>
          </cell>
          <cell r="CE9">
            <v>4.0577918396585284</v>
          </cell>
          <cell r="CF9">
            <v>4.0180423014091895</v>
          </cell>
          <cell r="CG9">
            <v>3.8673687930873375</v>
          </cell>
          <cell r="CH9">
            <v>0</v>
          </cell>
          <cell r="CI9">
            <v>0</v>
          </cell>
        </row>
        <row r="10">
          <cell r="BM10">
            <v>3.6294487745328015</v>
          </cell>
          <cell r="BN10">
            <v>4.4538081645598435</v>
          </cell>
          <cell r="BO10">
            <v>3.9299037043463083</v>
          </cell>
          <cell r="BP10">
            <v>2.929883138564271</v>
          </cell>
          <cell r="BQ10">
            <v>2.6802368015570619</v>
          </cell>
          <cell r="BR10">
            <v>2.9933262251707915</v>
          </cell>
          <cell r="BS10">
            <v>3.5658141942410184</v>
          </cell>
          <cell r="BT10">
            <v>4.2592647439931808</v>
          </cell>
          <cell r="BU10">
            <v>3.6612790454475594</v>
          </cell>
          <cell r="BV10">
            <v>2.2774654072581408</v>
          </cell>
          <cell r="BW10">
            <v>0.23062966990751976</v>
          </cell>
          <cell r="BX10">
            <v>1.7052921766008187</v>
          </cell>
          <cell r="BY10">
            <v>2.6528604724972396</v>
          </cell>
          <cell r="BZ10">
            <v>2.82591676743262</v>
          </cell>
          <cell r="CA10">
            <v>3.151497418833729</v>
          </cell>
          <cell r="CB10">
            <v>3.5739902587340833</v>
          </cell>
          <cell r="CC10">
            <v>3.7717818786539841</v>
          </cell>
          <cell r="CD10">
            <v>3.9373442696130843</v>
          </cell>
          <cell r="CE10">
            <v>4.1982453627306375</v>
          </cell>
          <cell r="CF10">
            <v>4.1398546803432703</v>
          </cell>
          <cell r="CG10">
            <v>3.922742207013509</v>
          </cell>
          <cell r="CH10">
            <v>0</v>
          </cell>
          <cell r="CI10">
            <v>0</v>
          </cell>
        </row>
        <row r="11">
          <cell r="BM11">
            <v>2.9717938749946087</v>
          </cell>
          <cell r="BN11">
            <v>3.8382482486681342</v>
          </cell>
          <cell r="BO11">
            <v>4.0801486628424062</v>
          </cell>
          <cell r="BP11">
            <v>2.4336283185840282</v>
          </cell>
          <cell r="BQ11">
            <v>2.2735023303399022</v>
          </cell>
          <cell r="BR11">
            <v>2.3229965544070348</v>
          </cell>
          <cell r="BS11">
            <v>3.4868563980013181</v>
          </cell>
          <cell r="BT11">
            <v>3.384066337776833</v>
          </cell>
          <cell r="BU11">
            <v>2.5144340433596524</v>
          </cell>
          <cell r="BV11">
            <v>1.6572816434624542</v>
          </cell>
          <cell r="BW11">
            <v>-1.0262012562530348E-2</v>
          </cell>
          <cell r="BX11">
            <v>1.1638511439745673</v>
          </cell>
          <cell r="BY11">
            <v>2.0297370295781039</v>
          </cell>
          <cell r="BZ11">
            <v>2.2076675707821702</v>
          </cell>
          <cell r="CA11">
            <v>2.6403068017847429</v>
          </cell>
          <cell r="CB11">
            <v>2.9131213587107676</v>
          </cell>
          <cell r="CC11">
            <v>3.3013543442393551</v>
          </cell>
          <cell r="CD11">
            <v>3.7806612157838724</v>
          </cell>
          <cell r="CE11">
            <v>4.1732164232035434</v>
          </cell>
          <cell r="CF11">
            <v>4.1017484906525921</v>
          </cell>
          <cell r="CG11">
            <v>3.9463034695222223</v>
          </cell>
          <cell r="CH11">
            <v>0</v>
          </cell>
          <cell r="CI11">
            <v>0</v>
          </cell>
        </row>
        <row r="12">
          <cell r="BM12">
            <v>7.0587474120082847</v>
          </cell>
          <cell r="BN12">
            <v>8.9019157551217791</v>
          </cell>
          <cell r="BO12">
            <v>-4.400665926748049</v>
          </cell>
          <cell r="BP12">
            <v>7.6507807511464465</v>
          </cell>
          <cell r="BQ12">
            <v>4.7559989215422096</v>
          </cell>
          <cell r="BR12">
            <v>10.593503886343733</v>
          </cell>
          <cell r="BS12">
            <v>8.7456364905748032</v>
          </cell>
          <cell r="BT12">
            <v>3.046952576613617</v>
          </cell>
          <cell r="BU12">
            <v>9.662155791540842</v>
          </cell>
          <cell r="BV12">
            <v>-4.2367399006292938</v>
          </cell>
          <cell r="BW12">
            <v>1.6565711697922401</v>
          </cell>
          <cell r="BX12">
            <v>2.885529322370386</v>
          </cell>
          <cell r="BY12">
            <v>-0.62649277493150324</v>
          </cell>
          <cell r="BZ12">
            <v>2.8408535232588594</v>
          </cell>
          <cell r="CA12">
            <v>4.16560283294295</v>
          </cell>
          <cell r="CB12">
            <v>-1.9010218236523884</v>
          </cell>
          <cell r="CC12">
            <v>-0.55349350908002404</v>
          </cell>
          <cell r="CD12">
            <v>2.8291042561442543</v>
          </cell>
          <cell r="CE12">
            <v>2.035036123213775</v>
          </cell>
          <cell r="CF12">
            <v>1.2536664542373173</v>
          </cell>
          <cell r="CG12">
            <v>0.7942755292297019</v>
          </cell>
          <cell r="CH12">
            <v>0</v>
          </cell>
          <cell r="CI12">
            <v>0</v>
          </cell>
        </row>
        <row r="13">
          <cell r="BM13">
            <v>1.1835097639555525</v>
          </cell>
          <cell r="BN13">
            <v>0.64981480278121473</v>
          </cell>
          <cell r="BO13">
            <v>-0.56814513525729105</v>
          </cell>
          <cell r="BP13">
            <v>-1.7336536588533167</v>
          </cell>
          <cell r="BQ13">
            <v>-0.50878815911195518</v>
          </cell>
          <cell r="BR13">
            <v>0.49146576343229675</v>
          </cell>
          <cell r="BS13">
            <v>0.74020223382462413</v>
          </cell>
          <cell r="BT13">
            <v>-0.11848061405236943</v>
          </cell>
          <cell r="BU13">
            <v>0.72978941132118302</v>
          </cell>
          <cell r="BV13">
            <v>0.70500552619481238</v>
          </cell>
          <cell r="BW13">
            <v>-2.4956342749399933</v>
          </cell>
          <cell r="BX13">
            <v>-0.43582663622587953</v>
          </cell>
          <cell r="BY13">
            <v>0.64542980075514433</v>
          </cell>
          <cell r="BZ13">
            <v>-0.78290881040803262</v>
          </cell>
          <cell r="CA13">
            <v>-1.296242120154381</v>
          </cell>
          <cell r="CB13">
            <v>-0.44086787700633551</v>
          </cell>
          <cell r="CC13">
            <v>-0.80706772191300824</v>
          </cell>
          <cell r="CD13">
            <v>-0.10601776921400979</v>
          </cell>
          <cell r="CE13">
            <v>0.23898521008060028</v>
          </cell>
          <cell r="CF13">
            <v>0.1279258924908121</v>
          </cell>
          <cell r="CG13">
            <v>0.15300192552652497</v>
          </cell>
          <cell r="CH13">
            <v>0</v>
          </cell>
          <cell r="CI13">
            <v>0</v>
          </cell>
        </row>
        <row r="14">
          <cell r="BM14">
            <v>-1.3075214217708679</v>
          </cell>
          <cell r="BN14">
            <v>-1.7814650459836565</v>
          </cell>
          <cell r="BO14">
            <v>-2.5471451021477276</v>
          </cell>
          <cell r="BP14">
            <v>-2.5398105220721678</v>
          </cell>
          <cell r="BQ14">
            <v>-0.3653912443984802</v>
          </cell>
          <cell r="BR14">
            <v>-0.74038195405481322</v>
          </cell>
          <cell r="BS14">
            <v>-7.6681770651784761E-2</v>
          </cell>
          <cell r="BT14">
            <v>-0.37819171201338631</v>
          </cell>
          <cell r="BU14">
            <v>-7.6751828983495626E-2</v>
          </cell>
          <cell r="BV14">
            <v>0.9850141882691279</v>
          </cell>
          <cell r="BW14">
            <v>-0.47892414524427124</v>
          </cell>
          <cell r="BX14">
            <v>2.182021802784718</v>
          </cell>
          <cell r="BY14">
            <v>3.401763973663241</v>
          </cell>
          <cell r="BZ14">
            <v>0.9082119227151958</v>
          </cell>
          <cell r="CA14">
            <v>8.0775127278048267E-2</v>
          </cell>
          <cell r="CB14">
            <v>-1.2639763791105818</v>
          </cell>
          <cell r="CC14">
            <v>0.11344757517391849</v>
          </cell>
          <cell r="CD14">
            <v>0.21024842913661326</v>
          </cell>
          <cell r="CE14">
            <v>0.39046024273151703</v>
          </cell>
          <cell r="CF14">
            <v>0.85349882469102933</v>
          </cell>
          <cell r="CG14">
            <v>1.0062037119575558</v>
          </cell>
          <cell r="CH14">
            <v>0</v>
          </cell>
          <cell r="CI14">
            <v>0</v>
          </cell>
        </row>
        <row r="15">
          <cell r="BM15">
            <v>6.1865189289012035</v>
          </cell>
          <cell r="BN15">
            <v>0.59782608695651551</v>
          </cell>
          <cell r="BO15">
            <v>-0.90221501890868816</v>
          </cell>
          <cell r="BP15">
            <v>3.0747424085482122</v>
          </cell>
          <cell r="BQ15">
            <v>3.5172158459829816</v>
          </cell>
          <cell r="BR15">
            <v>6.6268138156550016</v>
          </cell>
          <cell r="BS15">
            <v>3.9963582347021998</v>
          </cell>
          <cell r="BT15">
            <v>2.113947380546469</v>
          </cell>
          <cell r="BU15">
            <v>5.8845878424080365</v>
          </cell>
          <cell r="BV15">
            <v>-8.3339157382280238</v>
          </cell>
          <cell r="BW15">
            <v>7.8902701916152607</v>
          </cell>
          <cell r="BX15">
            <v>9.8089368484598225</v>
          </cell>
          <cell r="BY15">
            <v>2.3409663819380886</v>
          </cell>
          <cell r="BZ15">
            <v>3.4125125716600986E-2</v>
          </cell>
          <cell r="CA15">
            <v>-0.67721016091216502</v>
          </cell>
          <cell r="CB15">
            <v>-7.8136173329613454</v>
          </cell>
          <cell r="CC15">
            <v>-2.0962835299244245</v>
          </cell>
          <cell r="CD15">
            <v>3.6554285443666372</v>
          </cell>
          <cell r="CE15">
            <v>1.4224862991840848</v>
          </cell>
          <cell r="CF15">
            <v>3.7736216260794064</v>
          </cell>
          <cell r="CG15">
            <v>3.9992877460519987</v>
          </cell>
          <cell r="CH15">
            <v>0</v>
          </cell>
          <cell r="CI15">
            <v>0</v>
          </cell>
        </row>
        <row r="16">
          <cell r="BM16">
            <v>-7.5832701394145774E-2</v>
          </cell>
          <cell r="BN16">
            <v>-0.4495037945125604</v>
          </cell>
          <cell r="BO16">
            <v>-1.4836099220078487</v>
          </cell>
          <cell r="BP16">
            <v>-1.5357142857142898</v>
          </cell>
          <cell r="BQ16">
            <v>-0.57429573207590046</v>
          </cell>
          <cell r="BR16">
            <v>0.62017389189515337</v>
          </cell>
          <cell r="BS16">
            <v>-0.23566378633151278</v>
          </cell>
          <cell r="BT16">
            <v>-0.96589945487582618</v>
          </cell>
          <cell r="BU16">
            <v>-1.5124280375009138</v>
          </cell>
          <cell r="BV16">
            <v>1.0654377628352936</v>
          </cell>
          <cell r="BW16">
            <v>1.756395312756335</v>
          </cell>
          <cell r="BX16">
            <v>2.809972549403243</v>
          </cell>
          <cell r="BY16">
            <v>1.6553496679491988</v>
          </cell>
          <cell r="BZ16">
            <v>1.0755235341189382</v>
          </cell>
          <cell r="CA16">
            <v>0.33714416371327449</v>
          </cell>
          <cell r="CB16">
            <v>0.58804829721220475</v>
          </cell>
          <cell r="CC16">
            <v>0.15122166717638097</v>
          </cell>
          <cell r="CD16">
            <v>1.0559467055743299</v>
          </cell>
          <cell r="CE16">
            <v>0.92074695256564398</v>
          </cell>
          <cell r="CF16">
            <v>0.88137199212426076</v>
          </cell>
          <cell r="CG16">
            <v>0.91867775834183818</v>
          </cell>
          <cell r="CH16">
            <v>0</v>
          </cell>
          <cell r="CI16">
            <v>0</v>
          </cell>
        </row>
        <row r="17">
          <cell r="BM17">
            <v>28.39547270306262</v>
          </cell>
          <cell r="BN17">
            <v>-3.5779102929738418</v>
          </cell>
          <cell r="BO17">
            <v>-6.4197364883033154</v>
          </cell>
          <cell r="BP17">
            <v>16.478701242726839</v>
          </cell>
          <cell r="BQ17">
            <v>18.162195497995697</v>
          </cell>
          <cell r="BR17">
            <v>21.931106471816253</v>
          </cell>
          <cell r="BS17">
            <v>12.974060440030815</v>
          </cell>
          <cell r="BT17">
            <v>8.1919448338574821</v>
          </cell>
          <cell r="BU17">
            <v>16.598436006177518</v>
          </cell>
          <cell r="BV17">
            <v>-27.356133690546276</v>
          </cell>
          <cell r="BW17">
            <v>18.376681662554901</v>
          </cell>
          <cell r="BX17">
            <v>26.446169283788091</v>
          </cell>
          <cell r="BY17">
            <v>3.2404576167534094</v>
          </cell>
          <cell r="BZ17">
            <v>-2.855146179257094</v>
          </cell>
          <cell r="CA17">
            <v>-3.8627378941216746</v>
          </cell>
          <cell r="CB17">
            <v>-27.117523890119621</v>
          </cell>
          <cell r="CC17">
            <v>-11.511521230021323</v>
          </cell>
          <cell r="CD17">
            <v>11.867838059579192</v>
          </cell>
          <cell r="CE17">
            <v>-1.4225491677336559</v>
          </cell>
          <cell r="CF17">
            <v>9.3817489309763786</v>
          </cell>
          <cell r="CG17">
            <v>9.6546371678645659</v>
          </cell>
          <cell r="CH17">
            <v>0</v>
          </cell>
          <cell r="CI17">
            <v>0</v>
          </cell>
        </row>
        <row r="18">
          <cell r="BM18">
            <v>4.057199866977049</v>
          </cell>
          <cell r="BN18">
            <v>4.6053052093320526</v>
          </cell>
          <cell r="BO18">
            <v>4.7080749136903961</v>
          </cell>
          <cell r="BP18">
            <v>4.0178571428571308</v>
          </cell>
          <cell r="BQ18">
            <v>4.3956352211843459</v>
          </cell>
          <cell r="BR18">
            <v>4.2213026655201791</v>
          </cell>
          <cell r="BS18">
            <v>4.0090752056101397</v>
          </cell>
          <cell r="BT18">
            <v>4.423256159833441</v>
          </cell>
          <cell r="BU18">
            <v>3.7063430250320168</v>
          </cell>
          <cell r="BV18">
            <v>3.1720769514953373</v>
          </cell>
          <cell r="BW18">
            <v>3.4137285270598832</v>
          </cell>
          <cell r="BX18">
            <v>3.0434469199961818</v>
          </cell>
          <cell r="BY18">
            <v>3.6642453087491944</v>
          </cell>
          <cell r="BZ18">
            <v>2.4608326787621451</v>
          </cell>
          <cell r="CA18">
            <v>2.3893026795049623</v>
          </cell>
          <cell r="CB18">
            <v>2.6326757100162923</v>
          </cell>
          <cell r="CC18">
            <v>3.7879136918779208</v>
          </cell>
          <cell r="CD18">
            <v>3.1776967902782527</v>
          </cell>
          <cell r="CE18">
            <v>2.7263448883095518</v>
          </cell>
          <cell r="CF18">
            <v>2.6674837467144417</v>
          </cell>
          <cell r="CG18">
            <v>2.620081292399262</v>
          </cell>
          <cell r="CH18">
            <v>0</v>
          </cell>
          <cell r="CI18">
            <v>0</v>
          </cell>
        </row>
        <row r="19">
          <cell r="BM19">
            <v>1.3240702901511856</v>
          </cell>
          <cell r="BN19">
            <v>1.5487617972090104</v>
          </cell>
          <cell r="BO19">
            <v>1.2630073874017025</v>
          </cell>
          <cell r="BP19">
            <v>1.2158770003137789</v>
          </cell>
          <cell r="BQ19">
            <v>1.0230179028132806</v>
          </cell>
          <cell r="BR19">
            <v>0.66743383199080186</v>
          </cell>
          <cell r="BS19">
            <v>1.4403292181069984</v>
          </cell>
          <cell r="BT19">
            <v>0.46720757268422852</v>
          </cell>
          <cell r="BU19">
            <v>1.6247432362809562</v>
          </cell>
          <cell r="BV19">
            <v>0.89923306552310789</v>
          </cell>
          <cell r="BW19">
            <v>-0.83929618426156671</v>
          </cell>
          <cell r="BX19">
            <v>3.8903952832817904E-2</v>
          </cell>
          <cell r="BY19">
            <v>1.1867339857442019</v>
          </cell>
          <cell r="BZ19">
            <v>0.49127053953305527</v>
          </cell>
          <cell r="CA19">
            <v>0.24060272138450484</v>
          </cell>
          <cell r="CB19">
            <v>0.34445926170608182</v>
          </cell>
          <cell r="CC19">
            <v>0.89959225097158091</v>
          </cell>
          <cell r="CD19">
            <v>1.4806957906786775</v>
          </cell>
          <cell r="CE19">
            <v>0.81728250303663763</v>
          </cell>
          <cell r="CF19">
            <v>0.81624812305332395</v>
          </cell>
          <cell r="CG19">
            <v>0.86451645429398882</v>
          </cell>
          <cell r="CH19">
            <v>0</v>
          </cell>
          <cell r="CI19">
            <v>0</v>
          </cell>
        </row>
        <row r="20">
          <cell r="BM20">
            <v>1.3178486121406758</v>
          </cell>
          <cell r="BN20">
            <v>2.6664498821234059</v>
          </cell>
          <cell r="BO20">
            <v>2.5180140945443084</v>
          </cell>
          <cell r="BP20">
            <v>1.7533019232254698</v>
          </cell>
          <cell r="BQ20">
            <v>1.6395931379990605</v>
          </cell>
          <cell r="BR20">
            <v>1.8820014936519871</v>
          </cell>
          <cell r="BS20">
            <v>2.7122122855886195</v>
          </cell>
          <cell r="BT20">
            <v>2.4065087068227622</v>
          </cell>
          <cell r="BU20">
            <v>3.3909207481949957</v>
          </cell>
          <cell r="BV20">
            <v>3.0428484669147591</v>
          </cell>
          <cell r="BW20">
            <v>1.9827044847977544</v>
          </cell>
          <cell r="BX20">
            <v>1.1909328236146766</v>
          </cell>
          <cell r="BY20">
            <v>1.8087635815737457</v>
          </cell>
          <cell r="BZ20">
            <v>1.5256529351261303</v>
          </cell>
          <cell r="CA20">
            <v>1.200697151295572</v>
          </cell>
          <cell r="CB20">
            <v>0.50217698905900343</v>
          </cell>
          <cell r="CC20">
            <v>0.66909777618597177</v>
          </cell>
          <cell r="CD20">
            <v>-0.41888501370688347</v>
          </cell>
          <cell r="CE20">
            <v>1.9030133008718217</v>
          </cell>
          <cell r="CF20">
            <v>0.52790479109603261</v>
          </cell>
          <cell r="CG20">
            <v>0.35860966449462273</v>
          </cell>
          <cell r="CH20">
            <v>0</v>
          </cell>
          <cell r="CI20">
            <v>0</v>
          </cell>
        </row>
        <row r="21">
          <cell r="BM21">
            <v>4.9561177077955643</v>
          </cell>
          <cell r="BN21">
            <v>4.2670929660600088</v>
          </cell>
          <cell r="BO21">
            <v>3.7533907300389253</v>
          </cell>
          <cell r="BP21">
            <v>1.8699025263576543</v>
          </cell>
          <cell r="BQ21">
            <v>2.011325912907671</v>
          </cell>
          <cell r="BR21">
            <v>2.8276088383285765</v>
          </cell>
          <cell r="BS21">
            <v>2.6674113079091404</v>
          </cell>
          <cell r="BT21">
            <v>3.6119673617406907</v>
          </cell>
          <cell r="BU21">
            <v>3.6159542393136066</v>
          </cell>
          <cell r="BV21">
            <v>6.7184677033308171</v>
          </cell>
          <cell r="BW21">
            <v>3.4471633460154507</v>
          </cell>
          <cell r="BX21">
            <v>1.5560276839871146</v>
          </cell>
          <cell r="BY21">
            <v>1.8517255174809191</v>
          </cell>
          <cell r="BZ21">
            <v>1.6752040098573153</v>
          </cell>
          <cell r="CA21">
            <v>1.7694440172734007</v>
          </cell>
          <cell r="CB21">
            <v>1.666351518408802</v>
          </cell>
          <cell r="CC21">
            <v>1.9704063453423211</v>
          </cell>
          <cell r="CD21">
            <v>2.1095154654283435</v>
          </cell>
          <cell r="CE21">
            <v>2.7936063820129671</v>
          </cell>
          <cell r="CF21">
            <v>2.8427602811302677</v>
          </cell>
          <cell r="CG21">
            <v>2.8449399736195948</v>
          </cell>
          <cell r="CH21">
            <v>0</v>
          </cell>
          <cell r="CI21">
            <v>0</v>
          </cell>
        </row>
        <row r="22">
          <cell r="BM22">
            <v>3.466408004900976</v>
          </cell>
          <cell r="BN22">
            <v>2.7384418019440302</v>
          </cell>
          <cell r="BO22">
            <v>1.3591393718182778</v>
          </cell>
          <cell r="BP22">
            <v>2.2364368633025209</v>
          </cell>
          <cell r="BQ22">
            <v>2.5999907308708572</v>
          </cell>
          <cell r="BR22">
            <v>3.5188363899177766</v>
          </cell>
          <cell r="BS22">
            <v>3.2290439411790328</v>
          </cell>
          <cell r="BT22">
            <v>2.8535317242253964</v>
          </cell>
          <cell r="BU22">
            <v>4.0861727284907214</v>
          </cell>
          <cell r="BV22">
            <v>-0.67420007099335899</v>
          </cell>
          <cell r="BW22">
            <v>2.0689660655536826</v>
          </cell>
          <cell r="BX22">
            <v>3.5557691573694234</v>
          </cell>
          <cell r="BY22">
            <v>2.1005302944826632</v>
          </cell>
          <cell r="BZ22">
            <v>1.3681181073328712</v>
          </cell>
          <cell r="CA22">
            <v>1.5027479276076257</v>
          </cell>
          <cell r="CB22">
            <v>-0.41263819942817831</v>
          </cell>
          <cell r="CC22">
            <v>0.97752469695007227</v>
          </cell>
          <cell r="CD22">
            <v>2.3562852765142184</v>
          </cell>
          <cell r="CE22">
            <v>2.3656390774288658</v>
          </cell>
          <cell r="CF22">
            <v>2.2709039606826376</v>
          </cell>
          <cell r="CG22">
            <v>2.1981064520798741</v>
          </cell>
          <cell r="CH22">
            <v>0</v>
          </cell>
          <cell r="CI22">
            <v>0</v>
          </cell>
        </row>
        <row r="23">
          <cell r="BM23">
            <v>0</v>
          </cell>
          <cell r="BN23">
            <v>0</v>
          </cell>
          <cell r="BO23">
            <v>0</v>
          </cell>
          <cell r="BP23">
            <v>0</v>
          </cell>
          <cell r="BQ23">
            <v>0</v>
          </cell>
          <cell r="BR23">
            <v>0</v>
          </cell>
          <cell r="BS23">
            <v>0</v>
          </cell>
          <cell r="BT23">
            <v>0</v>
          </cell>
          <cell r="BU23">
            <v>0</v>
          </cell>
          <cell r="BV23">
            <v>0</v>
          </cell>
          <cell r="BW23">
            <v>0</v>
          </cell>
          <cell r="BX23">
            <v>0</v>
          </cell>
          <cell r="BY23">
            <v>0</v>
          </cell>
          <cell r="BZ23">
            <v>0</v>
          </cell>
          <cell r="CA23">
            <v>0</v>
          </cell>
          <cell r="CB23">
            <v>0</v>
          </cell>
          <cell r="CC23">
            <v>0</v>
          </cell>
          <cell r="CD23">
            <v>0</v>
          </cell>
          <cell r="CE23">
            <v>0</v>
          </cell>
          <cell r="CF23">
            <v>0</v>
          </cell>
          <cell r="CG23">
            <v>0</v>
          </cell>
          <cell r="CH23">
            <v>0</v>
          </cell>
          <cell r="CI23">
            <v>0</v>
          </cell>
        </row>
        <row r="24">
          <cell r="BM24">
            <v>3.2967032967032934</v>
          </cell>
          <cell r="BN24">
            <v>3.3615078208491118</v>
          </cell>
          <cell r="BO24">
            <v>2.772816994078418</v>
          </cell>
          <cell r="BP24">
            <v>2.5928297055057588</v>
          </cell>
          <cell r="BQ24">
            <v>3.3385335413416271</v>
          </cell>
          <cell r="BR24">
            <v>4.4685990338164512</v>
          </cell>
          <cell r="BS24">
            <v>4.2650701899256882</v>
          </cell>
          <cell r="BT24">
            <v>3.2768779946936846</v>
          </cell>
          <cell r="BU24">
            <v>3.5290720925319139</v>
          </cell>
          <cell r="BV24">
            <v>-0.79512134961373637</v>
          </cell>
          <cell r="BW24">
            <v>1.1986760356631028</v>
          </cell>
          <cell r="BX24">
            <v>2.6712730519085075</v>
          </cell>
          <cell r="BY24">
            <v>2.0347873140455408</v>
          </cell>
          <cell r="BZ24">
            <v>1.0814952749727953</v>
          </cell>
          <cell r="CA24">
            <v>1.3490756262706884</v>
          </cell>
          <cell r="CB24">
            <v>0.90663819615571606</v>
          </cell>
          <cell r="CC24">
            <v>1.8860976602619257</v>
          </cell>
          <cell r="CD24">
            <v>2.834064437012874</v>
          </cell>
          <cell r="CE24">
            <v>2.5449814158141257</v>
          </cell>
          <cell r="CF24">
            <v>2.5855280067832518</v>
          </cell>
          <cell r="CG24">
            <v>2.5624349832936346</v>
          </cell>
          <cell r="CH24">
            <v>0</v>
          </cell>
          <cell r="CI24">
            <v>0</v>
          </cell>
        </row>
        <row r="25">
          <cell r="BM25">
            <v>2.0637991764647698</v>
          </cell>
          <cell r="BN25">
            <v>4.5788168959315403</v>
          </cell>
          <cell r="BO25">
            <v>2.1148036253776543</v>
          </cell>
          <cell r="BP25">
            <v>2.8903049613108731</v>
          </cell>
          <cell r="BQ25">
            <v>2.8666224286662274</v>
          </cell>
          <cell r="BR25">
            <v>2.2319700683782679</v>
          </cell>
          <cell r="BS25">
            <v>2.1495877502944745</v>
          </cell>
          <cell r="BT25">
            <v>3.7285343656055612</v>
          </cell>
          <cell r="BU25">
            <v>4.6489256959552963</v>
          </cell>
          <cell r="BV25">
            <v>0.95696448210675233</v>
          </cell>
          <cell r="BW25">
            <v>0.62611699241381724</v>
          </cell>
          <cell r="BX25">
            <v>4.0218819295951302</v>
          </cell>
          <cell r="BY25">
            <v>2.024070866353755</v>
          </cell>
          <cell r="BZ25">
            <v>0.89992420579710486</v>
          </cell>
          <cell r="CA25">
            <v>2.4146977782938857</v>
          </cell>
          <cell r="CB25">
            <v>1.9388624459516612</v>
          </cell>
          <cell r="CC25">
            <v>0.86586290164450219</v>
          </cell>
          <cell r="CD25">
            <v>2.1033265188336721</v>
          </cell>
          <cell r="CE25">
            <v>3.0687831806944836</v>
          </cell>
          <cell r="CF25">
            <v>3.6067421086049309</v>
          </cell>
          <cell r="CG25">
            <v>3.4313017239196539</v>
          </cell>
          <cell r="CH25">
            <v>0</v>
          </cell>
          <cell r="CI25">
            <v>0</v>
          </cell>
        </row>
        <row r="26">
          <cell r="BM26">
            <v>2.0618556701030886</v>
          </cell>
          <cell r="BN26">
            <v>4.9902696691687645</v>
          </cell>
          <cell r="BO26">
            <v>1.5137472968798349</v>
          </cell>
          <cell r="BP26">
            <v>3.1953743152769021</v>
          </cell>
          <cell r="BQ26">
            <v>3.2270295319543583</v>
          </cell>
          <cell r="BR26">
            <v>1.0774190915397919</v>
          </cell>
          <cell r="BS26">
            <v>1.1184237089675935</v>
          </cell>
          <cell r="BT26">
            <v>5.2141431081296856</v>
          </cell>
          <cell r="BU26">
            <v>5.9426189846386315</v>
          </cell>
          <cell r="BV26">
            <v>-0.65708543937643116</v>
          </cell>
          <cell r="BW26">
            <v>5.9858064269538547E-2</v>
          </cell>
          <cell r="BX26">
            <v>5.10831612242227</v>
          </cell>
          <cell r="BY26">
            <v>1.6371595093938984</v>
          </cell>
          <cell r="BZ26">
            <v>1.0092474430632361</v>
          </cell>
          <cell r="CA26">
            <v>2.1584975478450024</v>
          </cell>
          <cell r="CB26">
            <v>1.3480499925300695</v>
          </cell>
          <cell r="CC26">
            <v>-1.2367374336851455</v>
          </cell>
          <cell r="CD26">
            <v>1.06605130523167</v>
          </cell>
          <cell r="CE26">
            <v>2.6369339112282169</v>
          </cell>
          <cell r="CF26">
            <v>3.5911592555571565</v>
          </cell>
          <cell r="CG26">
            <v>3.3031706926325581</v>
          </cell>
          <cell r="CH26">
            <v>0</v>
          </cell>
          <cell r="CI26">
            <v>0</v>
          </cell>
        </row>
        <row r="27">
          <cell r="BM27">
            <v>2.0923405390979535</v>
          </cell>
          <cell r="BN27">
            <v>3.9002457259371579</v>
          </cell>
          <cell r="BO27">
            <v>2.9990439289488262</v>
          </cell>
          <cell r="BP27">
            <v>2.5062289315550208</v>
          </cell>
          <cell r="BQ27">
            <v>2.1971213421027396</v>
          </cell>
          <cell r="BR27">
            <v>3.6142330830574299</v>
          </cell>
          <cell r="BS27">
            <v>3.3756413718606382</v>
          </cell>
          <cell r="BT27">
            <v>1.945489376523863</v>
          </cell>
          <cell r="BU27">
            <v>3.082147902783027</v>
          </cell>
          <cell r="BV27">
            <v>2.9425948728317093</v>
          </cell>
          <cell r="BW27">
            <v>1.2510283030865927</v>
          </cell>
          <cell r="BX27">
            <v>2.6268006487105451</v>
          </cell>
          <cell r="BY27">
            <v>2.5433372426839096</v>
          </cell>
          <cell r="BZ27">
            <v>0.75557816800621547</v>
          </cell>
          <cell r="CA27">
            <v>2.7230607685885708</v>
          </cell>
          <cell r="CB27">
            <v>2.7778396154080589</v>
          </cell>
          <cell r="CC27">
            <v>3.7614673035378776</v>
          </cell>
          <cell r="CD27">
            <v>3.4417139683410065</v>
          </cell>
          <cell r="CE27">
            <v>3.6130941676501833</v>
          </cell>
          <cell r="CF27">
            <v>3.6261955456122825</v>
          </cell>
          <cell r="CG27">
            <v>3.5912048037526652</v>
          </cell>
          <cell r="CH27">
            <v>0</v>
          </cell>
          <cell r="CI27">
            <v>0</v>
          </cell>
        </row>
        <row r="28">
          <cell r="BM28">
            <v>3.4072900158478387</v>
          </cell>
          <cell r="BN28">
            <v>0.6257982120051202</v>
          </cell>
          <cell r="BO28">
            <v>1.772644582645841</v>
          </cell>
          <cell r="BP28">
            <v>2.4775523777851829</v>
          </cell>
          <cell r="BQ28">
            <v>1.289956190167115</v>
          </cell>
          <cell r="BR28">
            <v>1.5498598317981687</v>
          </cell>
          <cell r="BS28">
            <v>-0.17746578853968062</v>
          </cell>
          <cell r="BT28">
            <v>2.5406131479140508</v>
          </cell>
          <cell r="BU28">
            <v>3.1788382081657893</v>
          </cell>
          <cell r="BV28">
            <v>0.9710923949268554</v>
          </cell>
          <cell r="BW28">
            <v>0.70339690409206923</v>
          </cell>
          <cell r="BX28">
            <v>-0.1796153638523808</v>
          </cell>
          <cell r="BY28">
            <v>-0.27371557861045392</v>
          </cell>
          <cell r="BZ28">
            <v>0.34319421848887027</v>
          </cell>
          <cell r="CA28">
            <v>0.34154248527490194</v>
          </cell>
          <cell r="CB28">
            <v>1.7375132039205456</v>
          </cell>
          <cell r="CC28">
            <v>1.8578001062402656</v>
          </cell>
          <cell r="CD28">
            <v>0.75995885883836789</v>
          </cell>
          <cell r="CE28">
            <v>1.5616612364705715</v>
          </cell>
          <cell r="CF28">
            <v>1.6671749629522967</v>
          </cell>
          <cell r="CG28">
            <v>1.6507754720588124</v>
          </cell>
          <cell r="CH28">
            <v>0</v>
          </cell>
          <cell r="CI28">
            <v>0</v>
          </cell>
        </row>
        <row r="29">
          <cell r="BM29">
            <v>3.6651668541432558</v>
          </cell>
          <cell r="BN29">
            <v>4.5799801067004227</v>
          </cell>
          <cell r="BO29">
            <v>5.4385889066620479</v>
          </cell>
          <cell r="BP29">
            <v>4.0264053466726537</v>
          </cell>
          <cell r="BQ29">
            <v>5.1909660636159654</v>
          </cell>
          <cell r="BR29">
            <v>5.9839628297362255</v>
          </cell>
          <cell r="BS29">
            <v>5.6708502739968081</v>
          </cell>
          <cell r="BT29">
            <v>6.3192478838368507</v>
          </cell>
          <cell r="BU29">
            <v>3.2779843513199216</v>
          </cell>
          <cell r="BV29">
            <v>0.61606798168037979</v>
          </cell>
          <cell r="BW29">
            <v>-0.87185304657979878</v>
          </cell>
          <cell r="BX29">
            <v>0.71800577508452146</v>
          </cell>
          <cell r="BY29">
            <v>1.9671962085308126</v>
          </cell>
          <cell r="BZ29">
            <v>1.9004495005697799</v>
          </cell>
          <cell r="CA29">
            <v>2.3583766904609265</v>
          </cell>
          <cell r="CB29">
            <v>3.5901127307489671</v>
          </cell>
          <cell r="CC29">
            <v>4.5251042592390576</v>
          </cell>
          <cell r="CD29">
            <v>4.6347890362703339</v>
          </cell>
          <cell r="CE29">
            <v>3.7209736239959068</v>
          </cell>
          <cell r="CF29">
            <v>4.0580441107947287</v>
          </cell>
          <cell r="CG29">
            <v>4.1041919379721952</v>
          </cell>
          <cell r="CH29">
            <v>0</v>
          </cell>
          <cell r="CI29">
            <v>0</v>
          </cell>
        </row>
        <row r="30">
          <cell r="BM30">
            <v>4.0307948805962974</v>
          </cell>
          <cell r="BN30">
            <v>5.4348338439783106</v>
          </cell>
          <cell r="BO30">
            <v>5.6777539341917231</v>
          </cell>
          <cell r="BP30">
            <v>5.2754040104915729</v>
          </cell>
          <cell r="BQ30">
            <v>6.4054651396423816</v>
          </cell>
          <cell r="BR30">
            <v>6.4655009630272708</v>
          </cell>
          <cell r="BS30">
            <v>5.7607037707069511</v>
          </cell>
          <cell r="BT30">
            <v>6.158007714237824</v>
          </cell>
          <cell r="BU30">
            <v>4.519445035087343</v>
          </cell>
          <cell r="BV30">
            <v>1.6600234693390108</v>
          </cell>
          <cell r="BW30">
            <v>-0.17956850037256999</v>
          </cell>
          <cell r="BX30">
            <v>1.3200684058465184</v>
          </cell>
          <cell r="BY30">
            <v>2.1434800069854636</v>
          </cell>
          <cell r="BZ30">
            <v>2.4315210930720288</v>
          </cell>
          <cell r="CA30">
            <v>2.8322246019778801</v>
          </cell>
          <cell r="CB30">
            <v>3.866033540528476</v>
          </cell>
          <cell r="CC30">
            <v>4.690303134103706</v>
          </cell>
          <cell r="CD30">
            <v>4.7754147809560212</v>
          </cell>
          <cell r="CE30">
            <v>4.1043695726443676</v>
          </cell>
          <cell r="CF30">
            <v>4.1588543446808632</v>
          </cell>
          <cell r="CG30">
            <v>4.1274267735939336</v>
          </cell>
          <cell r="CH30">
            <v>0</v>
          </cell>
          <cell r="CI30">
            <v>0</v>
          </cell>
        </row>
        <row r="31">
          <cell r="BM31">
            <v>3.2272503468958686</v>
          </cell>
          <cell r="BN31">
            <v>4.4748937646344453</v>
          </cell>
          <cell r="BO31">
            <v>5.3332779945214766</v>
          </cell>
          <cell r="BP31">
            <v>4.8071240001575779</v>
          </cell>
          <cell r="BQ31">
            <v>4.7934132862137808</v>
          </cell>
          <cell r="BR31">
            <v>6.1168113654301539</v>
          </cell>
          <cell r="BS31">
            <v>5.4396700361743235</v>
          </cell>
          <cell r="BT31">
            <v>5.7561241503142062</v>
          </cell>
          <cell r="BU31">
            <v>3.6517356401224874</v>
          </cell>
          <cell r="BV31">
            <v>0.95900043524449075</v>
          </cell>
          <cell r="BW31">
            <v>-0.7363349957729306</v>
          </cell>
          <cell r="BX31">
            <v>0.56457137319883277</v>
          </cell>
          <cell r="BY31">
            <v>1.8921300416022666</v>
          </cell>
          <cell r="BZ31">
            <v>1.8593005618577856</v>
          </cell>
          <cell r="CA31">
            <v>2.2232140335334818</v>
          </cell>
          <cell r="CB31">
            <v>3.2821403657552262</v>
          </cell>
          <cell r="CC31">
            <v>4.3879275112457847</v>
          </cell>
          <cell r="CD31">
            <v>4.437592138215563</v>
          </cell>
          <cell r="CE31">
            <v>3.8130972226659599</v>
          </cell>
          <cell r="CF31">
            <v>4.2263968169070187</v>
          </cell>
          <cell r="CG31">
            <v>4.2741953628285847</v>
          </cell>
          <cell r="CH31">
            <v>0</v>
          </cell>
          <cell r="CI31">
            <v>0</v>
          </cell>
        </row>
        <row r="32">
          <cell r="BM32">
            <v>7.0683329511579736</v>
          </cell>
          <cell r="BN32">
            <v>14.520533276222086</v>
          </cell>
          <cell r="BO32">
            <v>4.8903642059002301</v>
          </cell>
          <cell r="BP32">
            <v>-1.782928459993921E-2</v>
          </cell>
          <cell r="BQ32">
            <v>-1.1903169720476245</v>
          </cell>
          <cell r="BR32">
            <v>9.4838476809239811</v>
          </cell>
          <cell r="BS32">
            <v>14.279238440616531</v>
          </cell>
          <cell r="BT32">
            <v>0.79661750387653651</v>
          </cell>
          <cell r="BU32">
            <v>4.9428464816894415</v>
          </cell>
          <cell r="BV32">
            <v>-3.9169851020317137</v>
          </cell>
          <cell r="BW32">
            <v>7.6820483853914325</v>
          </cell>
          <cell r="BX32">
            <v>2.9891573851330944</v>
          </cell>
          <cell r="BY32">
            <v>1.5699578556919809</v>
          </cell>
          <cell r="BZ32">
            <v>7.8778843509794845</v>
          </cell>
          <cell r="CA32">
            <v>4.1453604740624934</v>
          </cell>
          <cell r="CB32">
            <v>-0.7548422440267879</v>
          </cell>
          <cell r="CC32">
            <v>2.1112659799079756</v>
          </cell>
          <cell r="CD32">
            <v>2.0412731408924309</v>
          </cell>
          <cell r="CE32">
            <v>3.0393750369906223</v>
          </cell>
          <cell r="CF32">
            <v>2.4037102293823143</v>
          </cell>
          <cell r="CG32">
            <v>2.2619159359194558</v>
          </cell>
          <cell r="CH32">
            <v>0</v>
          </cell>
          <cell r="CI32">
            <v>0</v>
          </cell>
        </row>
        <row r="33">
          <cell r="BM33">
            <v>2.5684352821899092</v>
          </cell>
          <cell r="BN33">
            <v>1.4299835255354343</v>
          </cell>
          <cell r="BO33">
            <v>0.51975051975051234</v>
          </cell>
          <cell r="BP33">
            <v>-3.8973629782833439</v>
          </cell>
          <cell r="BQ33">
            <v>-1.3181787611809972</v>
          </cell>
          <cell r="BR33">
            <v>2.9305527158726759</v>
          </cell>
          <cell r="BS33">
            <v>3.1053433092763356</v>
          </cell>
          <cell r="BT33">
            <v>-0.99216542512203121</v>
          </cell>
          <cell r="BU33">
            <v>-1.2592184206259041</v>
          </cell>
          <cell r="BV33">
            <v>6.286391440522196E-2</v>
          </cell>
          <cell r="BW33">
            <v>-3.4804203787452428</v>
          </cell>
          <cell r="BX33">
            <v>-1.0208287423585862</v>
          </cell>
          <cell r="BY33">
            <v>-0.38171689456299518</v>
          </cell>
          <cell r="BZ33">
            <v>-1.1954098469213146</v>
          </cell>
          <cell r="CA33">
            <v>-1.5020434493033432</v>
          </cell>
          <cell r="CB33">
            <v>-1.500991943251909</v>
          </cell>
          <cell r="CC33">
            <v>-0.25077535277651136</v>
          </cell>
          <cell r="CD33">
            <v>0.76107790694738819</v>
          </cell>
          <cell r="CE33">
            <v>-0.40122280562998497</v>
          </cell>
          <cell r="CF33">
            <v>-0.18133186117107425</v>
          </cell>
          <cell r="CG33">
            <v>-0.17294043532453815</v>
          </cell>
          <cell r="CH33">
            <v>0</v>
          </cell>
          <cell r="CJ33">
            <v>0</v>
          </cell>
        </row>
        <row r="34">
          <cell r="BM34">
            <v>-0.96614950634697871</v>
          </cell>
          <cell r="BN34">
            <v>-4.1871395001068077</v>
          </cell>
          <cell r="BO34">
            <v>-2.8019323671497829</v>
          </cell>
          <cell r="BP34">
            <v>-2.385685884691831</v>
          </cell>
          <cell r="BQ34">
            <v>-1.3159956133479342</v>
          </cell>
          <cell r="BR34">
            <v>0.40482616288295387</v>
          </cell>
          <cell r="BS34">
            <v>0.48225156138828545</v>
          </cell>
          <cell r="BT34">
            <v>-1.4703383162864145</v>
          </cell>
          <cell r="BU34">
            <v>1.8905033250499981</v>
          </cell>
          <cell r="BV34">
            <v>1.5102034738598467</v>
          </cell>
          <cell r="BW34">
            <v>0.99238992724996222</v>
          </cell>
          <cell r="BX34">
            <v>2.3533171114683902</v>
          </cell>
          <cell r="BY34">
            <v>1.7775852475361897</v>
          </cell>
          <cell r="BZ34">
            <v>-1.8674758474933724</v>
          </cell>
          <cell r="CA34">
            <v>1.2769518271493614</v>
          </cell>
          <cell r="CB34">
            <v>-2.6721099767190051</v>
          </cell>
          <cell r="CC34">
            <v>1.1389585580828596</v>
          </cell>
          <cell r="CD34">
            <v>-1.4879529414235708</v>
          </cell>
          <cell r="CE34">
            <v>1.1139255426592265</v>
          </cell>
          <cell r="CF34">
            <v>0.55102652627976922</v>
          </cell>
          <cell r="CG34">
            <v>0.28864855230119668</v>
          </cell>
          <cell r="CH34">
            <v>0</v>
          </cell>
          <cell r="CJ34">
            <v>0</v>
          </cell>
        </row>
        <row r="35">
          <cell r="BM35">
            <v>5.0820509908579936</v>
          </cell>
          <cell r="BN35">
            <v>0.68086026153680623</v>
          </cell>
          <cell r="BO35">
            <v>-0.52060970373552951</v>
          </cell>
          <cell r="BP35">
            <v>3.7766387914755937</v>
          </cell>
          <cell r="BQ35">
            <v>3.883545619963622</v>
          </cell>
          <cell r="BR35">
            <v>4.9594635171654442</v>
          </cell>
          <cell r="BS35">
            <v>3.8954846707671789</v>
          </cell>
          <cell r="BT35">
            <v>0.87237264800365111</v>
          </cell>
          <cell r="BU35">
            <v>5.1454293408261851</v>
          </cell>
          <cell r="BV35">
            <v>-7.2743093566456913</v>
          </cell>
          <cell r="BW35">
            <v>6.8867362361635962</v>
          </cell>
          <cell r="BX35">
            <v>8.8503259667567633</v>
          </cell>
          <cell r="BY35">
            <v>2.9741779348925594</v>
          </cell>
          <cell r="BZ35">
            <v>-0.74011207233327081</v>
          </cell>
          <cell r="CA35">
            <v>-1.4297334808218687</v>
          </cell>
          <cell r="CB35">
            <v>-4.5608080537863662</v>
          </cell>
          <cell r="CC35">
            <v>-4.238182096508667</v>
          </cell>
          <cell r="CD35">
            <v>4.0764750309295712</v>
          </cell>
          <cell r="CE35">
            <v>1.6626994611196526</v>
          </cell>
          <cell r="CF35">
            <v>3.9182501546206447</v>
          </cell>
          <cell r="CG35">
            <v>4.0855113785185706</v>
          </cell>
          <cell r="CH35">
            <v>0</v>
          </cell>
          <cell r="CJ35">
            <v>0</v>
          </cell>
        </row>
        <row r="36">
          <cell r="BM36">
            <v>19.128664495113995</v>
          </cell>
          <cell r="BN36">
            <v>0.25292227766767295</v>
          </cell>
          <cell r="BO36">
            <v>-3.7842629210418885</v>
          </cell>
          <cell r="BP36">
            <v>20.841896392885015</v>
          </cell>
          <cell r="BQ36">
            <v>16.520056298381412</v>
          </cell>
          <cell r="BR36">
            <v>15.350546076803035</v>
          </cell>
          <cell r="BS36">
            <v>13.45608447139927</v>
          </cell>
          <cell r="BT36">
            <v>7.3846094681383079</v>
          </cell>
          <cell r="BU36">
            <v>15.116236594490177</v>
          </cell>
          <cell r="BV36">
            <v>-23.469550923091482</v>
          </cell>
          <cell r="BW36">
            <v>15.221907905140128</v>
          </cell>
          <cell r="BX36">
            <v>23.767960607761498</v>
          </cell>
          <cell r="BY36">
            <v>5.8349642918428923</v>
          </cell>
          <cell r="BZ36">
            <v>-3.0510694984085331</v>
          </cell>
          <cell r="CA36">
            <v>-4.4374343673428518</v>
          </cell>
          <cell r="CB36">
            <v>-14.320794708840584</v>
          </cell>
          <cell r="CC36">
            <v>-14.974431984940475</v>
          </cell>
          <cell r="CD36">
            <v>10.380868388865494</v>
          </cell>
          <cell r="CE36">
            <v>-0.63825909657044599</v>
          </cell>
          <cell r="CF36">
            <v>8.0092121002543539</v>
          </cell>
          <cell r="CG36">
            <v>9.0014071709799701</v>
          </cell>
          <cell r="CH36">
            <v>0</v>
          </cell>
          <cell r="CJ36">
            <v>0</v>
          </cell>
        </row>
        <row r="37">
          <cell r="BM37">
            <v>3.1353304024810082</v>
          </cell>
          <cell r="BN37">
            <v>5.3200277566665299</v>
          </cell>
          <cell r="BO37">
            <v>5.8701722461017285</v>
          </cell>
          <cell r="BP37">
            <v>3.1679706021811382</v>
          </cell>
          <cell r="BQ37">
            <v>3.4498606842271538</v>
          </cell>
          <cell r="BR37">
            <v>5.0785805520075362</v>
          </cell>
          <cell r="BS37">
            <v>4.0456623417805302</v>
          </cell>
          <cell r="BT37">
            <v>3.6100218418245502</v>
          </cell>
          <cell r="BU37">
            <v>3.8236654564815087</v>
          </cell>
          <cell r="BV37">
            <v>2.9713643797504412</v>
          </cell>
          <cell r="BW37">
            <v>3.0664592094890972</v>
          </cell>
          <cell r="BX37">
            <v>3.8585604573134882</v>
          </cell>
          <cell r="BY37">
            <v>3.8340870617956018</v>
          </cell>
          <cell r="BZ37">
            <v>1.326088185287231</v>
          </cell>
          <cell r="CA37">
            <v>2.1255946589563259</v>
          </cell>
          <cell r="CB37">
            <v>2.1820262327174609</v>
          </cell>
          <cell r="CC37">
            <v>7.6318387829512693</v>
          </cell>
          <cell r="CD37">
            <v>3.3790915436702753</v>
          </cell>
          <cell r="CE37">
            <v>3.1290276993146557</v>
          </cell>
          <cell r="CF37">
            <v>2.892107561246307</v>
          </cell>
          <cell r="CG37">
            <v>2.808338831759122</v>
          </cell>
          <cell r="CH37">
            <v>0</v>
          </cell>
          <cell r="CJ37">
            <v>0</v>
          </cell>
        </row>
        <row r="38">
          <cell r="BM38">
            <v>2.5607461343368789</v>
          </cell>
          <cell r="BN38">
            <v>1.4677728142948703</v>
          </cell>
          <cell r="BO38">
            <v>2.7672955974842663</v>
          </cell>
          <cell r="BP38">
            <v>1.1704406364748872</v>
          </cell>
          <cell r="BQ38">
            <v>1.8449905482041833</v>
          </cell>
          <cell r="BR38">
            <v>0.76471898433439822</v>
          </cell>
          <cell r="BS38">
            <v>1.6872973769525474</v>
          </cell>
          <cell r="BT38">
            <v>-0.61901311499169243</v>
          </cell>
          <cell r="BU38">
            <v>1.1785146370147412</v>
          </cell>
          <cell r="BV38">
            <v>-2.8185780859409082</v>
          </cell>
          <cell r="BW38">
            <v>-5.6221716185664272</v>
          </cell>
          <cell r="BX38">
            <v>-1.7297487558788065</v>
          </cell>
          <cell r="BY38">
            <v>-0.31476610407991951</v>
          </cell>
          <cell r="BZ38">
            <v>-0.4091165376597875</v>
          </cell>
          <cell r="CA38">
            <v>1.2718525414501591</v>
          </cell>
          <cell r="CB38">
            <v>-0.6832468539392933</v>
          </cell>
          <cell r="CC38">
            <v>2.63921283207348</v>
          </cell>
          <cell r="CD38">
            <v>-0.37608384462069228</v>
          </cell>
          <cell r="CE38">
            <v>0.47866450965254032</v>
          </cell>
          <cell r="CF38">
            <v>0.49070793973973825</v>
          </cell>
          <cell r="CG38">
            <v>0.44451127567654847</v>
          </cell>
          <cell r="CH38">
            <v>0</v>
          </cell>
          <cell r="CJ38">
            <v>0</v>
          </cell>
        </row>
        <row r="39">
          <cell r="BM39">
            <v>0.56297790101673939</v>
          </cell>
          <cell r="BN39">
            <v>1.737967914438475</v>
          </cell>
          <cell r="BO39">
            <v>1.585085413929056</v>
          </cell>
          <cell r="BP39">
            <v>3.8483305036785249</v>
          </cell>
          <cell r="BQ39">
            <v>4.1961852861035771</v>
          </cell>
          <cell r="BR39">
            <v>3.474297668858338</v>
          </cell>
          <cell r="BS39">
            <v>2.1590006498663978</v>
          </cell>
          <cell r="BT39">
            <v>2.3236499858637467</v>
          </cell>
          <cell r="BU39">
            <v>4.1610858790819583</v>
          </cell>
          <cell r="BV39">
            <v>3.2625202763553038</v>
          </cell>
          <cell r="BW39">
            <v>3.6479760582103657</v>
          </cell>
          <cell r="BX39">
            <v>2.0981924056625427</v>
          </cell>
          <cell r="BY39">
            <v>2.6981822772027146</v>
          </cell>
          <cell r="BZ39">
            <v>2.2103300012527733</v>
          </cell>
          <cell r="CA39">
            <v>0.86989200064754302</v>
          </cell>
          <cell r="CB39">
            <v>0.66006146664786458</v>
          </cell>
          <cell r="CC39">
            <v>-1.6505504492080048</v>
          </cell>
          <cell r="CD39">
            <v>8.7829251135501524E-3</v>
          </cell>
          <cell r="CE39">
            <v>2.1710734611244051</v>
          </cell>
          <cell r="CF39">
            <v>0.76908820036565517</v>
          </cell>
          <cell r="CG39">
            <v>0.62211176352341313</v>
          </cell>
          <cell r="CH39">
            <v>0</v>
          </cell>
          <cell r="CJ39">
            <v>0</v>
          </cell>
        </row>
        <row r="40">
          <cell r="BM40">
            <v>4.211993575952258</v>
          </cell>
          <cell r="BN40">
            <v>2.9687999767380773</v>
          </cell>
          <cell r="BO40">
            <v>0.54783689144922887</v>
          </cell>
          <cell r="BP40">
            <v>0.69089479301239831</v>
          </cell>
          <cell r="BQ40">
            <v>1.0543344862211619</v>
          </cell>
          <cell r="BR40">
            <v>2.274358266629867</v>
          </cell>
          <cell r="BS40">
            <v>4.2721433583418778</v>
          </cell>
          <cell r="BT40">
            <v>2.599270129668461</v>
          </cell>
          <cell r="BU40">
            <v>3.2546123636774427</v>
          </cell>
          <cell r="BV40">
            <v>3.8301110759574777</v>
          </cell>
          <cell r="BW40">
            <v>2.6976291536987862</v>
          </cell>
          <cell r="BX40">
            <v>1.638193414050042</v>
          </cell>
          <cell r="BY40">
            <v>0.69210002380488145</v>
          </cell>
          <cell r="BZ40">
            <v>0.82115338032036023</v>
          </cell>
          <cell r="CA40">
            <v>1.0404479237561819</v>
          </cell>
          <cell r="CB40">
            <v>1.6863719564924908</v>
          </cell>
          <cell r="CC40">
            <v>1.4509288451613664</v>
          </cell>
          <cell r="CD40">
            <v>0.57676424655173397</v>
          </cell>
          <cell r="CE40">
            <v>2.2497030603345207</v>
          </cell>
          <cell r="CF40">
            <v>2.3026004590033597</v>
          </cell>
          <cell r="CG40">
            <v>2.2475080267420866</v>
          </cell>
          <cell r="CH40">
            <v>0</v>
          </cell>
          <cell r="CJ40">
            <v>0</v>
          </cell>
        </row>
        <row r="41">
          <cell r="BM41">
            <v>3.2536035095049072</v>
          </cell>
          <cell r="BN41">
            <v>3.2825856051793023</v>
          </cell>
          <cell r="BO41">
            <v>2.8452497551420186</v>
          </cell>
          <cell r="BP41">
            <v>3.0093805056901966</v>
          </cell>
          <cell r="BQ41">
            <v>3.5039060694309758</v>
          </cell>
          <cell r="BR41">
            <v>4.4303514805055526</v>
          </cell>
          <cell r="BS41">
            <v>4.1611427105161951</v>
          </cell>
          <cell r="BT41">
            <v>3.2982016751519181</v>
          </cell>
          <cell r="BU41">
            <v>3.8651695932837544</v>
          </cell>
          <cell r="BV41">
            <v>-1.1517019902218646</v>
          </cell>
          <cell r="BW41">
            <v>1.476493178685919</v>
          </cell>
          <cell r="BX41">
            <v>3.0383954946152838</v>
          </cell>
          <cell r="BY41">
            <v>2.0336470356501013</v>
          </cell>
          <cell r="BZ41">
            <v>1.1256308540424771</v>
          </cell>
          <cell r="CA41">
            <v>1.3084862681605469</v>
          </cell>
          <cell r="CB41">
            <v>0.58364883594326999</v>
          </cell>
          <cell r="CC41">
            <v>1.4765026933699297</v>
          </cell>
          <cell r="CD41">
            <v>2.8767339572392232</v>
          </cell>
          <cell r="CE41">
            <v>2.6530284654594074</v>
          </cell>
          <cell r="CF41">
            <v>2.6243328942273427</v>
          </cell>
          <cell r="CG41">
            <v>2.6129782840976592</v>
          </cell>
          <cell r="CH41">
            <v>0</v>
          </cell>
          <cell r="CI41">
            <v>0</v>
          </cell>
          <cell r="CJ41">
            <v>0</v>
          </cell>
        </row>
        <row r="42">
          <cell r="BM42">
            <v>0</v>
          </cell>
          <cell r="BN42">
            <v>0</v>
          </cell>
          <cell r="BO42">
            <v>0</v>
          </cell>
          <cell r="BP42">
            <v>0</v>
          </cell>
          <cell r="BQ42">
            <v>0</v>
          </cell>
          <cell r="BR42">
            <v>0</v>
          </cell>
          <cell r="BS42">
            <v>0</v>
          </cell>
          <cell r="BT42">
            <v>0</v>
          </cell>
          <cell r="BU42">
            <v>0</v>
          </cell>
          <cell r="BV42">
            <v>0</v>
          </cell>
          <cell r="BW42">
            <v>0</v>
          </cell>
          <cell r="BX42">
            <v>0</v>
          </cell>
          <cell r="BY42">
            <v>0</v>
          </cell>
          <cell r="BZ42">
            <v>0</v>
          </cell>
          <cell r="CA42">
            <v>0</v>
          </cell>
          <cell r="CB42">
            <v>0</v>
          </cell>
          <cell r="CC42">
            <v>0</v>
          </cell>
          <cell r="CD42">
            <v>0</v>
          </cell>
          <cell r="CE42">
            <v>0</v>
          </cell>
          <cell r="CF42">
            <v>0</v>
          </cell>
          <cell r="CG42">
            <v>0</v>
          </cell>
          <cell r="CH42">
            <v>0</v>
          </cell>
          <cell r="CI42">
            <v>0</v>
          </cell>
          <cell r="CJ42">
            <v>0</v>
          </cell>
        </row>
        <row r="43">
          <cell r="BM43">
            <v>4.4717705892300996</v>
          </cell>
          <cell r="BN43">
            <v>5.4088428452501933</v>
          </cell>
          <cell r="BO43">
            <v>1.6036680341355258</v>
          </cell>
          <cell r="BP43">
            <v>1.7985922183357075</v>
          </cell>
          <cell r="BQ43">
            <v>1.2026215877998514</v>
          </cell>
          <cell r="BR43">
            <v>1.9595925724106327</v>
          </cell>
          <cell r="BS43">
            <v>3.2251433739645181</v>
          </cell>
          <cell r="BT43">
            <v>3.2542713767971647</v>
          </cell>
          <cell r="BU43">
            <v>3.1098758915479516</v>
          </cell>
          <cell r="BV43">
            <v>0.72990120410133252</v>
          </cell>
          <cell r="BW43">
            <v>1.3696775843138806</v>
          </cell>
          <cell r="BX43">
            <v>2.6033174795508196</v>
          </cell>
          <cell r="BY43">
            <v>2.6821749684497709</v>
          </cell>
          <cell r="BZ43">
            <v>2.24187038587004</v>
          </cell>
          <cell r="CA43">
            <v>2.8414932566060651</v>
          </cell>
          <cell r="CB43">
            <v>2.5764319656541588</v>
          </cell>
          <cell r="CC43">
            <v>3.074371159413761</v>
          </cell>
          <cell r="CD43">
            <v>3.4717644332045099</v>
          </cell>
          <cell r="CE43">
            <v>3.7017027875064659</v>
          </cell>
          <cell r="CF43">
            <v>3.4917097964843631</v>
          </cell>
          <cell r="CG43">
            <v>3.4308959463547928</v>
          </cell>
          <cell r="CH43">
            <v>0</v>
          </cell>
          <cell r="CI43">
            <v>0</v>
          </cell>
          <cell r="CJ43">
            <v>0</v>
          </cell>
        </row>
        <row r="44">
          <cell r="BM44">
            <v>2.4563278991229001</v>
          </cell>
          <cell r="BN44">
            <v>3.718283139672736</v>
          </cell>
          <cell r="BO44">
            <v>2.1240111573460485</v>
          </cell>
          <cell r="BP44">
            <v>2.4044596682114125</v>
          </cell>
          <cell r="BQ44">
            <v>4.8009444480881216</v>
          </cell>
          <cell r="BR44">
            <v>1.6125331163819459</v>
          </cell>
          <cell r="BS44">
            <v>1.759392321905149</v>
          </cell>
          <cell r="BT44">
            <v>4.0887283878386773</v>
          </cell>
          <cell r="BU44">
            <v>4.338401268683036</v>
          </cell>
          <cell r="BV44">
            <v>1.4416332293059804</v>
          </cell>
          <cell r="BW44">
            <v>-0.22657827434268196</v>
          </cell>
          <cell r="BX44">
            <v>2.9362203774920506</v>
          </cell>
          <cell r="BY44">
            <v>2.4768869471228001</v>
          </cell>
          <cell r="BZ44">
            <v>2.6734176334207786</v>
          </cell>
          <cell r="CA44">
            <v>2.8820491528942127</v>
          </cell>
          <cell r="CB44">
            <v>3.521503056146539</v>
          </cell>
          <cell r="CC44">
            <v>1.909389521063064</v>
          </cell>
          <cell r="CD44">
            <v>1.4188423848896419</v>
          </cell>
          <cell r="CE44">
            <v>3.6862479270188473</v>
          </cell>
          <cell r="CF44">
            <v>3.9703942065045683</v>
          </cell>
          <cell r="CG44">
            <v>3.9203739065988779</v>
          </cell>
          <cell r="CH44">
            <v>0</v>
          </cell>
          <cell r="CI44">
            <v>0</v>
          </cell>
          <cell r="CJ44">
            <v>0</v>
          </cell>
        </row>
        <row r="45">
          <cell r="BM45">
            <v>3.058801177923439</v>
          </cell>
          <cell r="BN45">
            <v>4.0418471748548113</v>
          </cell>
          <cell r="BO45">
            <v>0.94352159468438845</v>
          </cell>
          <cell r="BP45">
            <v>3.067403896787777</v>
          </cell>
          <cell r="BQ45">
            <v>4.7941414399455127</v>
          </cell>
          <cell r="BR45">
            <v>0.16251574371264904</v>
          </cell>
          <cell r="BS45">
            <v>0.53543179329091617</v>
          </cell>
          <cell r="BT45">
            <v>4.3446842848496603</v>
          </cell>
          <cell r="BU45">
            <v>5.5352618124858344</v>
          </cell>
          <cell r="BV45">
            <v>-1.2858443540276348</v>
          </cell>
          <cell r="BW45">
            <v>-0.88704050121740785</v>
          </cell>
          <cell r="BX45">
            <v>3.5294368771628983</v>
          </cell>
          <cell r="BY45">
            <v>1.9411203618331603</v>
          </cell>
          <cell r="BZ45">
            <v>1.190808632156156</v>
          </cell>
          <cell r="CA45">
            <v>3.1891291609933785</v>
          </cell>
          <cell r="CB45">
            <v>3.0444538309431257</v>
          </cell>
          <cell r="CC45">
            <v>5.7051424109000022E-3</v>
          </cell>
          <cell r="CD45">
            <v>0.10134458908003888</v>
          </cell>
          <cell r="CE45">
            <v>3.100275158277717</v>
          </cell>
          <cell r="CF45">
            <v>3.9271687199664647</v>
          </cell>
          <cell r="CG45">
            <v>3.6924334702322343</v>
          </cell>
          <cell r="CH45">
            <v>0</v>
          </cell>
          <cell r="CI45">
            <v>0</v>
          </cell>
          <cell r="CJ45">
            <v>0</v>
          </cell>
        </row>
        <row r="46">
          <cell r="BM46">
            <v>2.0776761914252226</v>
          </cell>
          <cell r="BN46">
            <v>2.8505186089078753</v>
          </cell>
          <cell r="BO46">
            <v>3.7372754668628243</v>
          </cell>
          <cell r="BP46">
            <v>1.5371242966284129</v>
          </cell>
          <cell r="BQ46">
            <v>4.4559585492227853</v>
          </cell>
          <cell r="BR46">
            <v>3.3298826777087371</v>
          </cell>
          <cell r="BS46">
            <v>3.3582401068625889</v>
          </cell>
          <cell r="BT46">
            <v>3.5106520466064972</v>
          </cell>
          <cell r="BU46">
            <v>3.5136114254701449</v>
          </cell>
          <cell r="BV46">
            <v>4.0491084057332953</v>
          </cell>
          <cell r="BW46">
            <v>1.0366959764748611</v>
          </cell>
          <cell r="BX46">
            <v>2.0397121621185641</v>
          </cell>
          <cell r="BY46">
            <v>3.1148375644202857</v>
          </cell>
          <cell r="BZ46">
            <v>4.271510383335932</v>
          </cell>
          <cell r="CA46">
            <v>2.4579912534747383</v>
          </cell>
          <cell r="CB46">
            <v>4.2802443183729917</v>
          </cell>
          <cell r="CC46">
            <v>4.2154522690878071</v>
          </cell>
          <cell r="CD46">
            <v>3.6908912000060705</v>
          </cell>
          <cell r="CE46">
            <v>4.4668308313138443</v>
          </cell>
          <cell r="CF46">
            <v>4.0160657913104183</v>
          </cell>
          <cell r="CG46">
            <v>4.1610074906256873</v>
          </cell>
          <cell r="CH46">
            <v>0</v>
          </cell>
          <cell r="CI46">
            <v>0</v>
          </cell>
          <cell r="CJ46">
            <v>0</v>
          </cell>
        </row>
        <row r="47">
          <cell r="BM47">
            <v>3.9674747627318983</v>
          </cell>
          <cell r="BN47">
            <v>4.7119784982687323</v>
          </cell>
          <cell r="BO47">
            <v>5.5243380737657599</v>
          </cell>
          <cell r="BP47">
            <v>2.7742472717710207</v>
          </cell>
          <cell r="BQ47">
            <v>3.918976545842217</v>
          </cell>
          <cell r="BR47">
            <v>2.7801715294021285</v>
          </cell>
          <cell r="BS47">
            <v>2.9505120475914923</v>
          </cell>
          <cell r="BT47">
            <v>4.3275678191231437</v>
          </cell>
          <cell r="BU47">
            <v>5.1719270216013058</v>
          </cell>
          <cell r="BV47">
            <v>1.1878857111753653</v>
          </cell>
          <cell r="BW47">
            <v>-9.4869535177704745E-2</v>
          </cell>
          <cell r="BX47">
            <v>0.49334600860161565</v>
          </cell>
          <cell r="BY47">
            <v>2.303016744927016</v>
          </cell>
          <cell r="BZ47">
            <v>1.5355376192603298</v>
          </cell>
          <cell r="CA47">
            <v>3.5165051954861726</v>
          </cell>
          <cell r="CB47">
            <v>1.2489929172557943</v>
          </cell>
          <cell r="CC47">
            <v>2.5098015905924211</v>
          </cell>
          <cell r="CD47">
            <v>3.5969153893440011</v>
          </cell>
          <cell r="CE47">
            <v>2.79341592019296</v>
          </cell>
          <cell r="CF47">
            <v>2.6332530561784266</v>
          </cell>
          <cell r="CG47">
            <v>2.6088846995162478</v>
          </cell>
          <cell r="CH47">
            <v>0</v>
          </cell>
          <cell r="CI47">
            <v>0</v>
          </cell>
          <cell r="CJ47">
            <v>0</v>
          </cell>
        </row>
        <row r="48">
          <cell r="BM48">
            <v>6.52626521460604</v>
          </cell>
          <cell r="BN48">
            <v>9.9977448695782591</v>
          </cell>
          <cell r="BO48">
            <v>3.2665892161552788</v>
          </cell>
          <cell r="BP48">
            <v>1.0125074449076763</v>
          </cell>
          <cell r="BQ48">
            <v>-0.71737421383646238</v>
          </cell>
          <cell r="BR48">
            <v>0.63017585535650678</v>
          </cell>
          <cell r="BS48">
            <v>2.2852459016393341</v>
          </cell>
          <cell r="BT48">
            <v>3.137737602974664</v>
          </cell>
          <cell r="BU48">
            <v>1.8438967325835074</v>
          </cell>
          <cell r="BV48">
            <v>1.3116902259044219</v>
          </cell>
          <cell r="BW48">
            <v>-0.67658664417604275</v>
          </cell>
          <cell r="BX48">
            <v>1.5749803332162717</v>
          </cell>
          <cell r="BY48">
            <v>3.2156475900557</v>
          </cell>
          <cell r="BZ48">
            <v>3.7395764513131833</v>
          </cell>
          <cell r="CA48">
            <v>4.7065879684002452</v>
          </cell>
          <cell r="CB48">
            <v>5.4258270839175253</v>
          </cell>
          <cell r="CC48">
            <v>6.3044548496943094</v>
          </cell>
          <cell r="CD48">
            <v>6.2851802002352599</v>
          </cell>
          <cell r="CE48">
            <v>6.0255611377622209</v>
          </cell>
          <cell r="CF48">
            <v>5.7931015707685622</v>
          </cell>
          <cell r="CG48">
            <v>5.6195933436220518</v>
          </cell>
          <cell r="CH48">
            <v>0</v>
          </cell>
          <cell r="CI48">
            <v>0</v>
          </cell>
          <cell r="CJ48">
            <v>0</v>
          </cell>
        </row>
        <row r="49">
          <cell r="BM49">
            <v>7.0271957548090018</v>
          </cell>
          <cell r="BN49">
            <v>10.627050674444034</v>
          </cell>
          <cell r="BO49">
            <v>3.8227055528093663</v>
          </cell>
          <cell r="BP49">
            <v>0.11426757657512947</v>
          </cell>
          <cell r="BQ49">
            <v>-0.25680859833231207</v>
          </cell>
          <cell r="BR49">
            <v>0.30514939605846964</v>
          </cell>
          <cell r="BS49">
            <v>1.5306122448979724</v>
          </cell>
          <cell r="BT49">
            <v>3.8661943256655853</v>
          </cell>
          <cell r="BU49">
            <v>4.1455702003354116</v>
          </cell>
          <cell r="BV49">
            <v>3.2353701564233091</v>
          </cell>
          <cell r="BW49">
            <v>-0.11428641702159054</v>
          </cell>
          <cell r="BX49">
            <v>2.3099734621536254</v>
          </cell>
          <cell r="BY49">
            <v>4.1138938445435587</v>
          </cell>
          <cell r="BZ49">
            <v>4.4844478232521574</v>
          </cell>
          <cell r="CA49">
            <v>5.5079831399302996</v>
          </cell>
          <cell r="CB49">
            <v>6.10915419959671</v>
          </cell>
          <cell r="CC49">
            <v>6.6417031261018122</v>
          </cell>
          <cell r="CD49">
            <v>6.5026822405226534</v>
          </cell>
          <cell r="CE49">
            <v>6.3950589460329068</v>
          </cell>
          <cell r="CF49">
            <v>6.0347303797417577</v>
          </cell>
          <cell r="CG49">
            <v>5.8284815015203435</v>
          </cell>
          <cell r="CH49">
            <v>0</v>
          </cell>
          <cell r="CI49">
            <v>0</v>
          </cell>
        </row>
        <row r="50">
          <cell r="BM50">
            <v>5.8083898965172098</v>
          </cell>
          <cell r="BN50">
            <v>10.232411399726569</v>
          </cell>
          <cell r="BO50">
            <v>4.3026140049608763</v>
          </cell>
          <cell r="BP50">
            <v>3.0488734412627602E-2</v>
          </cell>
          <cell r="BQ50">
            <v>-0.5669176140693144</v>
          </cell>
          <cell r="BR50">
            <v>0.1747233546884184</v>
          </cell>
          <cell r="BS50">
            <v>2.0318237454100259</v>
          </cell>
          <cell r="BT50">
            <v>2.8651031669865814</v>
          </cell>
          <cell r="BU50">
            <v>2.8134360602857087</v>
          </cell>
          <cell r="BV50">
            <v>2.1064911767783507</v>
          </cell>
          <cell r="BW50">
            <v>-0.16124566301654247</v>
          </cell>
          <cell r="BX50">
            <v>1.2581952654738686</v>
          </cell>
          <cell r="BY50">
            <v>2.8191207925404953</v>
          </cell>
          <cell r="BZ50">
            <v>3.4942109597137385</v>
          </cell>
          <cell r="CA50">
            <v>4.5642205505968318</v>
          </cell>
          <cell r="CB50">
            <v>5.2902979232108853</v>
          </cell>
          <cell r="CC50">
            <v>6.484666607575738</v>
          </cell>
          <cell r="CD50">
            <v>6.5177223440706564</v>
          </cell>
          <cell r="CE50">
            <v>6.102308136530751</v>
          </cell>
          <cell r="CF50">
            <v>5.8896337938881258</v>
          </cell>
          <cell r="CG50">
            <v>5.6998445200698784</v>
          </cell>
          <cell r="CH50">
            <v>0</v>
          </cell>
          <cell r="CI50">
            <v>0</v>
          </cell>
        </row>
        <row r="51">
          <cell r="BM51">
            <v>6.6982078853046296</v>
          </cell>
          <cell r="BN51">
            <v>19.292682271371405</v>
          </cell>
          <cell r="BO51">
            <v>-2.5974318540211949</v>
          </cell>
          <cell r="BP51">
            <v>7.2993038369914691</v>
          </cell>
          <cell r="BQ51">
            <v>-0.71993619727114688</v>
          </cell>
          <cell r="BR51">
            <v>10.267265898087242</v>
          </cell>
          <cell r="BS51">
            <v>12.922343860754507</v>
          </cell>
          <cell r="BT51">
            <v>3.8488605255357182</v>
          </cell>
          <cell r="BU51">
            <v>4.2285751320218061</v>
          </cell>
          <cell r="BV51">
            <v>0.83430484449671138</v>
          </cell>
          <cell r="BW51">
            <v>6.1358031042224797</v>
          </cell>
          <cell r="BX51">
            <v>2.6892728774390484</v>
          </cell>
          <cell r="BY51">
            <v>4.7083890460065314</v>
          </cell>
          <cell r="BZ51">
            <v>6.5548976386947402</v>
          </cell>
          <cell r="CA51">
            <v>3.0113643977547175</v>
          </cell>
          <cell r="CB51">
            <v>7.1523722908178193</v>
          </cell>
          <cell r="CC51">
            <v>5.7911086936080594</v>
          </cell>
          <cell r="CD51">
            <v>2.2476264118655576</v>
          </cell>
          <cell r="CE51">
            <v>1.8441116062577299</v>
          </cell>
          <cell r="CF51">
            <v>4.3564936399748448E-2</v>
          </cell>
          <cell r="CG51">
            <v>0.27858964032382227</v>
          </cell>
          <cell r="CH51">
            <v>0</v>
          </cell>
          <cell r="CI51">
            <v>0</v>
          </cell>
        </row>
        <row r="52">
          <cell r="BM52">
            <v>2.8030602822846857</v>
          </cell>
          <cell r="BN52">
            <v>1.5557836658753943</v>
          </cell>
          <cell r="BO52">
            <v>-1.7088347705233871</v>
          </cell>
          <cell r="BP52">
            <v>-2.8665081303425688</v>
          </cell>
          <cell r="BQ52">
            <v>-2.3291206246278069</v>
          </cell>
          <cell r="BR52">
            <v>-1.8596301063613416</v>
          </cell>
          <cell r="BS52">
            <v>1.8327408276671311</v>
          </cell>
          <cell r="BT52">
            <v>3.8477833514099813</v>
          </cell>
          <cell r="BU52">
            <v>1.1650415724928038</v>
          </cell>
          <cell r="BV52">
            <v>2.6270631151356696</v>
          </cell>
          <cell r="BW52">
            <v>-2.6386884833623796</v>
          </cell>
          <cell r="BX52">
            <v>-0.13554563089746927</v>
          </cell>
          <cell r="BY52">
            <v>2.7490580080791225</v>
          </cell>
          <cell r="BZ52">
            <v>-0.47669244856732168</v>
          </cell>
          <cell r="CA52">
            <v>0.57060362192759584</v>
          </cell>
          <cell r="CB52">
            <v>4.5099436060560345</v>
          </cell>
          <cell r="CC52">
            <v>-1.3828508446310122</v>
          </cell>
          <cell r="CD52">
            <v>-1.0509961532280498</v>
          </cell>
          <cell r="CE52">
            <v>0.84927151557355285</v>
          </cell>
          <cell r="CF52">
            <v>0.88309766271869772</v>
          </cell>
          <cell r="CG52">
            <v>0.9087399774445275</v>
          </cell>
          <cell r="CH52">
            <v>0</v>
          </cell>
          <cell r="CI52">
            <v>0</v>
          </cell>
        </row>
        <row r="53">
          <cell r="BM53">
            <v>1.0252855110008401</v>
          </cell>
          <cell r="BN53">
            <v>-3.6044495810459507</v>
          </cell>
          <cell r="BO53">
            <v>-1.9445485200449431</v>
          </cell>
          <cell r="BP53">
            <v>0.68778418860569557</v>
          </cell>
          <cell r="BQ53">
            <v>-1.3092482258737808</v>
          </cell>
          <cell r="BR53">
            <v>-0.9036376220872151</v>
          </cell>
          <cell r="BS53">
            <v>1.5754142252919914</v>
          </cell>
          <cell r="BT53">
            <v>-1.7270886656224727</v>
          </cell>
          <cell r="BU53">
            <v>-1.7273925263072187</v>
          </cell>
          <cell r="BV53">
            <v>3.6335867958464676</v>
          </cell>
          <cell r="BW53">
            <v>5.3589586215105033E-2</v>
          </cell>
          <cell r="BX53">
            <v>4.4956807954477869</v>
          </cell>
          <cell r="BY53">
            <v>3.9486164016585965</v>
          </cell>
          <cell r="BZ53">
            <v>0.45660464696462522</v>
          </cell>
          <cell r="CA53">
            <v>-2.1064761240168011</v>
          </cell>
          <cell r="CB53">
            <v>-1.270932512401455</v>
          </cell>
          <cell r="CC53">
            <v>0.8074204109773756</v>
          </cell>
          <cell r="CD53">
            <v>-2.0830644215258034</v>
          </cell>
          <cell r="CE53">
            <v>-0.91947041989035683</v>
          </cell>
          <cell r="CF53">
            <v>-0.52989592267972463</v>
          </cell>
          <cell r="CG53">
            <v>-0.36391877193197891</v>
          </cell>
          <cell r="CH53">
            <v>0</v>
          </cell>
          <cell r="CI53">
            <v>0</v>
          </cell>
        </row>
        <row r="54">
          <cell r="BM54">
            <v>5.3944582527846734</v>
          </cell>
          <cell r="BN54">
            <v>0.39304742772294526</v>
          </cell>
          <cell r="BO54">
            <v>-1.8473406414941145</v>
          </cell>
          <cell r="BP54">
            <v>2.7891859949771045</v>
          </cell>
          <cell r="BQ54">
            <v>3.1992871309896929</v>
          </cell>
          <cell r="BR54">
            <v>4.3785861511893565</v>
          </cell>
          <cell r="BS54">
            <v>3.41036451940011</v>
          </cell>
          <cell r="BT54">
            <v>3.210182700247719</v>
          </cell>
          <cell r="BU54">
            <v>5.8351820594104273</v>
          </cell>
          <cell r="BV54">
            <v>-5.5004919696148242</v>
          </cell>
          <cell r="BW54">
            <v>6.845043310875834</v>
          </cell>
          <cell r="BX54">
            <v>7.1346446224837923</v>
          </cell>
          <cell r="BY54">
            <v>3.4038569139185118</v>
          </cell>
          <cell r="BZ54">
            <v>0.11096671779920622</v>
          </cell>
          <cell r="CA54">
            <v>0.37708805071385448</v>
          </cell>
          <cell r="CB54">
            <v>-5.413439302075834</v>
          </cell>
          <cell r="CC54">
            <v>-1.9374195056525334</v>
          </cell>
          <cell r="CD54">
            <v>3.4778464759084908</v>
          </cell>
          <cell r="CE54">
            <v>0.72765472128876996</v>
          </cell>
          <cell r="CF54">
            <v>2.4489483459582058</v>
          </cell>
          <cell r="CG54">
            <v>2.6178089351108507</v>
          </cell>
          <cell r="CH54">
            <v>0</v>
          </cell>
          <cell r="CI54">
            <v>0</v>
          </cell>
        </row>
        <row r="55">
          <cell r="BM55">
            <v>21.02451518477859</v>
          </cell>
          <cell r="BN55">
            <v>-2.0316846051517601</v>
          </cell>
          <cell r="BO55">
            <v>-11.208492778669296</v>
          </cell>
          <cell r="BP55">
            <v>21.013485332962624</v>
          </cell>
          <cell r="BQ55">
            <v>11.976563846286401</v>
          </cell>
          <cell r="BR55">
            <v>16.2665435518621</v>
          </cell>
          <cell r="BS55">
            <v>11.758217515993827</v>
          </cell>
          <cell r="BT55">
            <v>12.269048559020927</v>
          </cell>
          <cell r="BU55">
            <v>13.692398308586288</v>
          </cell>
          <cell r="BV55">
            <v>-24.588327937161093</v>
          </cell>
          <cell r="BW55">
            <v>15.761735099625673</v>
          </cell>
          <cell r="BX55">
            <v>22.22647774507206</v>
          </cell>
          <cell r="BY55">
            <v>5.7872412214806905</v>
          </cell>
          <cell r="BZ55">
            <v>-3.8504579579126994</v>
          </cell>
          <cell r="CA55">
            <v>-3.1953800306132001</v>
          </cell>
          <cell r="CB55">
            <v>-19.259648076419797</v>
          </cell>
          <cell r="CC55">
            <v>-12.504657985373019</v>
          </cell>
          <cell r="CD55">
            <v>10.601813015153482</v>
          </cell>
          <cell r="CE55">
            <v>-0.9527872309216775</v>
          </cell>
          <cell r="CF55">
            <v>8.1824571953445204</v>
          </cell>
          <cell r="CG55">
            <v>9.0044867099204868</v>
          </cell>
          <cell r="CH55">
            <v>0</v>
          </cell>
          <cell r="CI55">
            <v>0</v>
          </cell>
        </row>
        <row r="56">
          <cell r="BM56">
            <v>4.4538402278875679</v>
          </cell>
          <cell r="BN56">
            <v>5.0443373411316843</v>
          </cell>
          <cell r="BO56">
            <v>4.1506106720658353</v>
          </cell>
          <cell r="BP56">
            <v>2.9363810240491244</v>
          </cell>
          <cell r="BQ56">
            <v>6.762210816491308</v>
          </cell>
          <cell r="BR56">
            <v>2.8716529479735566</v>
          </cell>
          <cell r="BS56">
            <v>10.06212558242734</v>
          </cell>
          <cell r="BT56">
            <v>6.8170421328495028</v>
          </cell>
          <cell r="BU56">
            <v>3.4982905463705194</v>
          </cell>
          <cell r="BV56">
            <v>4.1517658971774445</v>
          </cell>
          <cell r="BW56">
            <v>2.528349401760321</v>
          </cell>
          <cell r="BX56">
            <v>2.4975485037655107</v>
          </cell>
          <cell r="BY56">
            <v>1.5565708709352173</v>
          </cell>
          <cell r="BZ56">
            <v>3.8392776675528797</v>
          </cell>
          <cell r="CA56">
            <v>6.2679182367254445</v>
          </cell>
          <cell r="CB56">
            <v>4.0630109196640598</v>
          </cell>
          <cell r="CC56">
            <v>3.2388593471718115</v>
          </cell>
          <cell r="CD56">
            <v>2.4761715502605943</v>
          </cell>
          <cell r="CE56">
            <v>3.5133509666623</v>
          </cell>
          <cell r="CF56">
            <v>3.1531896073344412</v>
          </cell>
          <cell r="CG56">
            <v>2.8659275169588549</v>
          </cell>
          <cell r="CH56">
            <v>0</v>
          </cell>
          <cell r="CI56">
            <v>0</v>
          </cell>
        </row>
        <row r="57">
          <cell r="BM57">
            <v>-1.3845158507655875</v>
          </cell>
          <cell r="BN57">
            <v>-1.9375437368789499</v>
          </cell>
          <cell r="BO57">
            <v>0.27652647071945247</v>
          </cell>
          <cell r="BP57">
            <v>1.2854156473780181</v>
          </cell>
          <cell r="BQ57">
            <v>2.854382575092214</v>
          </cell>
          <cell r="BR57">
            <v>2.0835112287592992</v>
          </cell>
          <cell r="BS57">
            <v>2.450857381848595</v>
          </cell>
          <cell r="BT57">
            <v>1.6288373612018372</v>
          </cell>
          <cell r="BU57">
            <v>1.8325366539465748</v>
          </cell>
          <cell r="BV57">
            <v>1.0539536377159138</v>
          </cell>
          <cell r="BW57">
            <v>2.8743012834524868</v>
          </cell>
          <cell r="BX57">
            <v>0.47998937572926231</v>
          </cell>
          <cell r="BY57">
            <v>1.3324522067500448</v>
          </cell>
          <cell r="BZ57">
            <v>-1.9358577332573068</v>
          </cell>
          <cell r="CA57">
            <v>0.6904144196593478</v>
          </cell>
          <cell r="CB57">
            <v>2.2513700964398402</v>
          </cell>
          <cell r="CC57">
            <v>1.0387246224463627</v>
          </cell>
          <cell r="CD57">
            <v>5.7249903627931566E-2</v>
          </cell>
          <cell r="CE57">
            <v>0.74198893403273025</v>
          </cell>
          <cell r="CF57">
            <v>0.6708038752499822</v>
          </cell>
          <cell r="CG57">
            <v>0.70588299669475352</v>
          </cell>
          <cell r="CH57">
            <v>0</v>
          </cell>
          <cell r="CI57">
            <v>0</v>
          </cell>
        </row>
        <row r="58">
          <cell r="BM58">
            <v>2.1640865634625075</v>
          </cell>
          <cell r="BN58">
            <v>1.2333594361785705</v>
          </cell>
          <cell r="BO58">
            <v>2.1929994198413945</v>
          </cell>
          <cell r="BP58">
            <v>2.9293770342896286</v>
          </cell>
          <cell r="BQ58">
            <v>1.5737608471834204</v>
          </cell>
          <cell r="BR58">
            <v>3.7648421662322571</v>
          </cell>
          <cell r="BS58">
            <v>3.5200948925481432</v>
          </cell>
          <cell r="BT58">
            <v>2.6025005897617302</v>
          </cell>
          <cell r="BU58">
            <v>5.0067268315178346</v>
          </cell>
          <cell r="BV58">
            <v>4.0398754439771745</v>
          </cell>
          <cell r="BW58">
            <v>2.714614197735008</v>
          </cell>
          <cell r="BX58">
            <v>0.59829077341375603</v>
          </cell>
          <cell r="BY58">
            <v>0.17548101613137809</v>
          </cell>
          <cell r="BZ58">
            <v>-9.5559809112401584E-3</v>
          </cell>
          <cell r="CA58">
            <v>-0.73933759975554247</v>
          </cell>
          <cell r="CB58">
            <v>0.53182694392797758</v>
          </cell>
          <cell r="CC58">
            <v>-4.0113388731331169E-2</v>
          </cell>
          <cell r="CD58">
            <v>-1.2923289005462577</v>
          </cell>
          <cell r="CE58">
            <v>1.3028524893102555</v>
          </cell>
          <cell r="CF58">
            <v>0.45572267457951904</v>
          </cell>
          <cell r="CG58">
            <v>0.35563001026987417</v>
          </cell>
          <cell r="CH58">
            <v>0</v>
          </cell>
          <cell r="CI58">
            <v>0</v>
          </cell>
        </row>
        <row r="59">
          <cell r="BM59">
            <v>4.221061792863348</v>
          </cell>
          <cell r="BN59">
            <v>4.1840040313872349</v>
          </cell>
          <cell r="BO59">
            <v>3.0209643316150827</v>
          </cell>
          <cell r="BP59">
            <v>3.629924745462624</v>
          </cell>
          <cell r="BQ59">
            <v>1.8394107672193829</v>
          </cell>
          <cell r="BR59">
            <v>2.5510333782444041</v>
          </cell>
          <cell r="BS59">
            <v>2.5272368959234188</v>
          </cell>
          <cell r="BT59">
            <v>2.5216150870406384</v>
          </cell>
          <cell r="BU59">
            <v>4.2426657208203116</v>
          </cell>
          <cell r="BV59">
            <v>4.8396388802260022</v>
          </cell>
          <cell r="BW59">
            <v>0.99027495421456324</v>
          </cell>
          <cell r="BX59">
            <v>0.3671468475210754</v>
          </cell>
          <cell r="BY59">
            <v>1.9292066107609127</v>
          </cell>
          <cell r="BZ59">
            <v>2.8084561026198069</v>
          </cell>
          <cell r="CA59">
            <v>4.4647065420196137</v>
          </cell>
          <cell r="CB59">
            <v>0.54138077964045916</v>
          </cell>
          <cell r="CC59">
            <v>0.8615488769070675</v>
          </cell>
          <cell r="CD59">
            <v>2.5958963175839487</v>
          </cell>
          <cell r="CE59">
            <v>3.2059106842899578</v>
          </cell>
          <cell r="CF59">
            <v>3.2105328941578715</v>
          </cell>
          <cell r="CG59">
            <v>3.1921777415392936</v>
          </cell>
          <cell r="CH59">
            <v>0</v>
          </cell>
          <cell r="CI59">
            <v>0</v>
          </cell>
        </row>
        <row r="60">
          <cell r="BM60">
            <v>4.3998618102852678</v>
          </cell>
          <cell r="BN60">
            <v>5.3655423452383655</v>
          </cell>
          <cell r="BO60">
            <v>1.6510756668237117</v>
          </cell>
          <cell r="BP60">
            <v>1.9067375808266913</v>
          </cell>
          <cell r="BQ60">
            <v>1.3751434696927238</v>
          </cell>
          <cell r="BR60">
            <v>2.0806630778432749</v>
          </cell>
          <cell r="BS60">
            <v>2.9192650567111706</v>
          </cell>
          <cell r="BT60">
            <v>3.1471503222789234</v>
          </cell>
          <cell r="BU60">
            <v>3.3473490403873103</v>
          </cell>
          <cell r="BV60">
            <v>0.54988977980186238</v>
          </cell>
          <cell r="BW60">
            <v>1.8110350039722709</v>
          </cell>
          <cell r="BX60">
            <v>3.0022442768146513</v>
          </cell>
          <cell r="BY60">
            <v>2.9349606511441975</v>
          </cell>
          <cell r="BZ60">
            <v>2.1205149829632965</v>
          </cell>
          <cell r="CA60">
            <v>2.5608893985711161</v>
          </cell>
          <cell r="CB60">
            <v>2.2259314928147509</v>
          </cell>
          <cell r="CC60">
            <v>2.7613933450023298</v>
          </cell>
          <cell r="CD60">
            <v>3.3348226578977069</v>
          </cell>
          <cell r="CE60">
            <v>3.7769303372324163</v>
          </cell>
          <cell r="CF60">
            <v>3.5449774310585616</v>
          </cell>
          <cell r="CG60">
            <v>3.4825000303675662</v>
          </cell>
          <cell r="CH60">
            <v>0</v>
          </cell>
          <cell r="CI60">
            <v>0</v>
          </cell>
        </row>
        <row r="61">
          <cell r="BM61">
            <v>0</v>
          </cell>
          <cell r="BN61">
            <v>0</v>
          </cell>
          <cell r="BO61">
            <v>0</v>
          </cell>
          <cell r="BP61">
            <v>0</v>
          </cell>
          <cell r="BQ61">
            <v>0</v>
          </cell>
          <cell r="BR61">
            <v>0</v>
          </cell>
          <cell r="BS61">
            <v>0</v>
          </cell>
          <cell r="BT61">
            <v>0</v>
          </cell>
          <cell r="BU61">
            <v>0</v>
          </cell>
          <cell r="BV61">
            <v>0</v>
          </cell>
          <cell r="BW61">
            <v>0</v>
          </cell>
          <cell r="BX61">
            <v>0</v>
          </cell>
          <cell r="BY61">
            <v>0</v>
          </cell>
          <cell r="BZ61">
            <v>0</v>
          </cell>
          <cell r="CA61">
            <v>0</v>
          </cell>
          <cell r="CB61">
            <v>0</v>
          </cell>
          <cell r="CC61">
            <v>0</v>
          </cell>
          <cell r="CD61">
            <v>0</v>
          </cell>
          <cell r="CE61">
            <v>0</v>
          </cell>
          <cell r="CF61">
            <v>0</v>
          </cell>
          <cell r="CG61">
            <v>0</v>
          </cell>
          <cell r="CH61">
            <v>0</v>
          </cell>
          <cell r="CI61">
            <v>0</v>
          </cell>
        </row>
        <row r="62">
          <cell r="BM62">
            <v>3.6495808916252539</v>
          </cell>
          <cell r="BN62">
            <v>4.064982466184798</v>
          </cell>
          <cell r="BO62">
            <v>2.3542626596061562</v>
          </cell>
          <cell r="BP62">
            <v>2.3225083986562112</v>
          </cell>
          <cell r="BQ62">
            <v>2.60030205528926</v>
          </cell>
          <cell r="BR62">
            <v>3.7141333333333164</v>
          </cell>
          <cell r="BS62">
            <v>3.8588119137732706</v>
          </cell>
          <cell r="BT62">
            <v>3.3469460508595263</v>
          </cell>
          <cell r="BU62">
            <v>3.3955042683349825</v>
          </cell>
          <cell r="BV62">
            <v>-0.31045090816620768</v>
          </cell>
          <cell r="BW62">
            <v>1.2536282486909365</v>
          </cell>
          <cell r="BX62">
            <v>2.6494035316566706</v>
          </cell>
          <cell r="BY62">
            <v>2.2429031200942027</v>
          </cell>
          <cell r="BZ62">
            <v>1.4559120182373888</v>
          </cell>
          <cell r="CA62">
            <v>1.8345402768020418</v>
          </cell>
          <cell r="CB62">
            <v>1.4551261318165163</v>
          </cell>
          <cell r="CC62">
            <v>2.2806888701208021</v>
          </cell>
          <cell r="CD62">
            <v>3.0474558761930979</v>
          </cell>
          <cell r="CE62">
            <v>2.9337178577587326</v>
          </cell>
          <cell r="CF62">
            <v>2.8923243065793911</v>
          </cell>
          <cell r="CG62">
            <v>2.858173351919282</v>
          </cell>
          <cell r="CH62">
            <v>0</v>
          </cell>
          <cell r="CI62">
            <v>0</v>
          </cell>
        </row>
        <row r="63">
          <cell r="BM63">
            <v>3.2620022630785885</v>
          </cell>
          <cell r="BN63">
            <v>3.6334940775028106</v>
          </cell>
          <cell r="BO63">
            <v>2.7256081239111869</v>
          </cell>
          <cell r="BP63">
            <v>1.6175207681892596</v>
          </cell>
          <cell r="BQ63">
            <v>2.1096994291697171</v>
          </cell>
          <cell r="BR63">
            <v>3.0921577649561396</v>
          </cell>
          <cell r="BS63">
            <v>3.4246555941544319</v>
          </cell>
          <cell r="BT63">
            <v>2.98178580063994</v>
          </cell>
          <cell r="BU63">
            <v>2.4651517972136707</v>
          </cell>
          <cell r="BV63">
            <v>1.3057764581300257</v>
          </cell>
          <cell r="BW63">
            <v>0.51459740073413107</v>
          </cell>
          <cell r="BX63">
            <v>1.3224371907877017</v>
          </cell>
          <cell r="BY63">
            <v>2.1071576300101129</v>
          </cell>
          <cell r="BZ63">
            <v>1.6151018303595783</v>
          </cell>
          <cell r="CA63">
            <v>2.0756916720872431</v>
          </cell>
          <cell r="CB63">
            <v>2.3508497615591377</v>
          </cell>
          <cell r="CC63">
            <v>3.2168423816522287</v>
          </cell>
          <cell r="CD63">
            <v>3.0413218612227797</v>
          </cell>
          <cell r="CE63">
            <v>3.0445588055863357</v>
          </cell>
          <cell r="CF63">
            <v>2.6253279465470607</v>
          </cell>
          <cell r="CG63">
            <v>2.5675544870389713</v>
          </cell>
          <cell r="CH63">
            <v>0</v>
          </cell>
          <cell r="CI63">
            <v>0</v>
          </cell>
        </row>
        <row r="64">
          <cell r="BM64">
            <v>19.775739041794068</v>
          </cell>
          <cell r="BN64">
            <v>-0.54337152209492334</v>
          </cell>
          <cell r="BO64">
            <v>-6.3191153238546818</v>
          </cell>
          <cell r="BP64">
            <v>20.882518268690305</v>
          </cell>
          <cell r="BQ64">
            <v>15.0430132527319</v>
          </cell>
          <cell r="BR64">
            <v>15.647736459175446</v>
          </cell>
          <cell r="BS64">
            <v>12.918869325877051</v>
          </cell>
          <cell r="BT64">
            <v>8.923895380329661</v>
          </cell>
          <cell r="BU64">
            <v>14.654913050258097</v>
          </cell>
          <cell r="BV64">
            <v>-23.82896934431577</v>
          </cell>
          <cell r="BW64">
            <v>15.393650939555339</v>
          </cell>
          <cell r="BX64">
            <v>23.276037391162461</v>
          </cell>
          <cell r="BY64">
            <v>5.8198749683703976</v>
          </cell>
          <cell r="BZ64">
            <v>-3.3038049037763675</v>
          </cell>
          <cell r="CA64">
            <v>-4.0468705903391848</v>
          </cell>
          <cell r="CB64">
            <v>-15.88777507956557</v>
          </cell>
          <cell r="CC64">
            <v>-14.222223453207869</v>
          </cell>
          <cell r="CD64">
            <v>10.44949717292095</v>
          </cell>
          <cell r="CE64">
            <v>-0.73611643979737285</v>
          </cell>
          <cell r="CF64">
            <v>8.062986629012233</v>
          </cell>
          <cell r="CG64">
            <v>9.0023641033392483</v>
          </cell>
          <cell r="CH64">
            <v>0</v>
          </cell>
          <cell r="CI64">
            <v>0</v>
          </cell>
        </row>
        <row r="65">
          <cell r="BM65">
            <v>3.5648243271008822</v>
          </cell>
          <cell r="BN65">
            <v>3.9976192838012112</v>
          </cell>
          <cell r="BO65">
            <v>2.4084318962228211</v>
          </cell>
          <cell r="BP65">
            <v>2.6568248498113727</v>
          </cell>
          <cell r="BQ65">
            <v>2.8058157733572267</v>
          </cell>
          <cell r="BR65">
            <v>3.7287088518224292</v>
          </cell>
          <cell r="BS65">
            <v>3.6988982005360271</v>
          </cell>
          <cell r="BT65">
            <v>3.3169651098393942</v>
          </cell>
          <cell r="BU65">
            <v>3.7037037037036771</v>
          </cell>
          <cell r="BV65">
            <v>-0.62309900052987999</v>
          </cell>
          <cell r="BW65">
            <v>1.5816930006048817</v>
          </cell>
          <cell r="BX65">
            <v>3.0269710983579756</v>
          </cell>
          <cell r="BY65">
            <v>2.3176141992386179</v>
          </cell>
          <cell r="BZ65">
            <v>1.4408529262130436</v>
          </cell>
          <cell r="CA65">
            <v>1.7079335398095672</v>
          </cell>
          <cell r="CB65">
            <v>1.112004254540067</v>
          </cell>
          <cell r="CC65">
            <v>1.8943496129560244</v>
          </cell>
          <cell r="CD65">
            <v>3.0269398879222256</v>
          </cell>
          <cell r="CE65">
            <v>3.0227500462834285</v>
          </cell>
          <cell r="CF65">
            <v>2.9294040174637317</v>
          </cell>
          <cell r="CG65">
            <v>2.9028321841702636</v>
          </cell>
          <cell r="CH65">
            <v>0</v>
          </cell>
          <cell r="CI65">
            <v>0</v>
          </cell>
        </row>
      </sheetData>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ow r="71">
          <cell r="H71">
            <v>0.01</v>
          </cell>
        </row>
      </sheetData>
      <sheetData sheetId="42"/>
      <sheetData sheetId="43">
        <row r="71">
          <cell r="H71">
            <v>0.03</v>
          </cell>
        </row>
      </sheetData>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Exhibit 1"/>
      <sheetName val="Exhibit 2.1.1"/>
      <sheetName val="Exhibit 2.1.2"/>
      <sheetName val="Exhibit 2.2.1"/>
      <sheetName val="Exhibit 2.2.2"/>
      <sheetName val="Exhibit 2.3.1"/>
      <sheetName val="Exhibit 2.3.2"/>
      <sheetName val="Exhibit 2.4.1"/>
      <sheetName val="Exhibit 2.4.2"/>
      <sheetName val="Exhibit 2.5.1"/>
      <sheetName val="Exhibit 2.5.2"/>
      <sheetName val="Exhibit 2.6.1"/>
      <sheetName val="Exhibit 2.6.2"/>
      <sheetName val="Exhibit 3.1"/>
      <sheetName val="Exhibit 3.2"/>
      <sheetName val="Exhibit 4.1"/>
      <sheetName val="Exhibit 4.2"/>
      <sheetName val="Exhibit 4.3"/>
      <sheetName val="Exhibit 4.4"/>
      <sheetName val="Exhibit 5.1"/>
      <sheetName val="Exhibit 5.2"/>
      <sheetName val="Exhibit 6.1"/>
      <sheetName val="Exhibit 6.2"/>
      <sheetName val="Exhibit 6.3"/>
      <sheetName val="Exhibit 6.4"/>
      <sheetName val="Exhibit 7.1"/>
      <sheetName val="Exhibit 7.2"/>
      <sheetName val="Exhibit 7.3"/>
      <sheetName val="Exhibit 7.4"/>
      <sheetName val="Exhibit 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38">
          <cell r="L38">
            <v>2.5000000000000001E-2</v>
          </cell>
        </row>
      </sheetData>
      <sheetData sheetId="25"/>
      <sheetData sheetId="26">
        <row r="43">
          <cell r="A43">
            <v>42826</v>
          </cell>
        </row>
      </sheetData>
      <sheetData sheetId="27"/>
      <sheetData sheetId="28"/>
      <sheetData sheetId="29"/>
      <sheetData sheetId="3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P81"/>
  <sheetViews>
    <sheetView tabSelected="1" zoomScaleNormal="100" workbookViewId="0">
      <selection sqref="A1:I1"/>
    </sheetView>
  </sheetViews>
  <sheetFormatPr defaultColWidth="9.140625" defaultRowHeight="12.75"/>
  <cols>
    <col min="1" max="1" width="8" style="136" customWidth="1"/>
    <col min="2" max="3" width="14" style="136" customWidth="1"/>
    <col min="4" max="4" width="12" style="136" customWidth="1"/>
    <col min="5" max="5" width="13.85546875" style="136" customWidth="1"/>
    <col min="6" max="7" width="12.7109375" style="136" bestFit="1" customWidth="1"/>
    <col min="8" max="8" width="14.140625" style="136" customWidth="1"/>
    <col min="9" max="9" width="6.7109375" style="136" customWidth="1"/>
    <col min="10" max="10" width="9.140625" style="136"/>
    <col min="11" max="11" width="12.7109375" style="136" bestFit="1" customWidth="1"/>
    <col min="12" max="12" width="11.28515625" style="136" bestFit="1" customWidth="1"/>
    <col min="13" max="13" width="8.7109375" style="136" customWidth="1"/>
    <col min="14" max="16384" width="9.140625" style="136"/>
  </cols>
  <sheetData>
    <row r="1" spans="1:16" ht="18" customHeight="1">
      <c r="A1" s="507" t="s">
        <v>0</v>
      </c>
      <c r="B1" s="507"/>
      <c r="C1" s="507"/>
      <c r="D1" s="507"/>
      <c r="E1" s="507"/>
      <c r="F1" s="507"/>
      <c r="G1" s="507"/>
      <c r="H1" s="507"/>
      <c r="I1" s="507"/>
    </row>
    <row r="2" spans="1:16" ht="18" customHeight="1">
      <c r="A2" s="507" t="s">
        <v>433</v>
      </c>
      <c r="B2" s="507"/>
      <c r="C2" s="507"/>
      <c r="D2" s="507"/>
      <c r="E2" s="507"/>
      <c r="F2" s="507"/>
      <c r="G2" s="507"/>
      <c r="H2" s="507"/>
      <c r="I2" s="507"/>
    </row>
    <row r="3" spans="1:16" ht="18" customHeight="1">
      <c r="A3" s="1"/>
      <c r="B3" s="1"/>
      <c r="C3" s="1"/>
      <c r="D3" s="1"/>
      <c r="E3" s="1"/>
      <c r="F3" s="1"/>
      <c r="G3" s="1"/>
      <c r="H3" s="1"/>
      <c r="I3" s="2"/>
    </row>
    <row r="4" spans="1:16" ht="18" customHeight="1">
      <c r="A4" s="3"/>
      <c r="B4" s="1" t="s">
        <v>1</v>
      </c>
      <c r="C4" s="1" t="s">
        <v>2</v>
      </c>
      <c r="D4" s="1" t="s">
        <v>3</v>
      </c>
      <c r="E4" s="1" t="s">
        <v>4</v>
      </c>
      <c r="F4" s="1" t="s">
        <v>5</v>
      </c>
      <c r="G4" s="1"/>
      <c r="H4" s="1" t="s">
        <v>6</v>
      </c>
      <c r="I4" s="132" t="s">
        <v>7</v>
      </c>
    </row>
    <row r="5" spans="1:16" ht="15" customHeight="1">
      <c r="A5" s="26" t="s">
        <v>8</v>
      </c>
      <c r="B5" s="26" t="s">
        <v>9</v>
      </c>
      <c r="C5" s="26" t="s">
        <v>3</v>
      </c>
      <c r="D5" s="26" t="s">
        <v>10</v>
      </c>
      <c r="E5" s="353" t="s">
        <v>372</v>
      </c>
      <c r="F5" s="26" t="s">
        <v>10</v>
      </c>
      <c r="G5" s="26" t="s">
        <v>15</v>
      </c>
      <c r="H5" s="26" t="s">
        <v>16</v>
      </c>
      <c r="I5" s="133" t="s">
        <v>11</v>
      </c>
    </row>
    <row r="6" spans="1:16" ht="15" hidden="1" customHeight="1">
      <c r="A6" s="150">
        <v>1983</v>
      </c>
      <c r="B6" s="26"/>
      <c r="C6" s="26"/>
      <c r="D6" s="26"/>
      <c r="E6" s="1"/>
      <c r="F6" s="26"/>
      <c r="G6" s="26"/>
      <c r="H6" s="26"/>
      <c r="I6" s="133"/>
    </row>
    <row r="7" spans="1:16" ht="15" hidden="1" customHeight="1">
      <c r="A7" s="150">
        <v>1984</v>
      </c>
      <c r="B7" s="26"/>
      <c r="C7" s="26"/>
      <c r="D7" s="26"/>
      <c r="E7" s="1"/>
      <c r="F7" s="26"/>
      <c r="G7" s="26"/>
      <c r="H7" s="26"/>
      <c r="I7" s="133"/>
    </row>
    <row r="8" spans="1:16" ht="15" hidden="1" customHeight="1">
      <c r="A8" s="150">
        <v>1985</v>
      </c>
      <c r="B8" s="26"/>
      <c r="C8" s="26"/>
      <c r="D8" s="26"/>
      <c r="E8" s="1"/>
      <c r="F8" s="26"/>
      <c r="G8" s="26"/>
      <c r="H8" s="26"/>
      <c r="I8" s="133"/>
    </row>
    <row r="9" spans="1:16" ht="15" customHeight="1">
      <c r="A9" s="150">
        <v>1986</v>
      </c>
      <c r="B9" s="404">
        <v>3506609097</v>
      </c>
      <c r="C9" s="404">
        <v>1383116214</v>
      </c>
      <c r="D9" s="404">
        <v>4696354</v>
      </c>
      <c r="E9" s="404">
        <v>1141069438</v>
      </c>
      <c r="F9" s="404">
        <v>32902227</v>
      </c>
      <c r="G9" s="404">
        <v>18852369</v>
      </c>
      <c r="H9" s="222">
        <v>2580636602</v>
      </c>
      <c r="I9" s="132">
        <v>0.73593506735832204</v>
      </c>
    </row>
    <row r="10" spans="1:16" ht="15" customHeight="1">
      <c r="A10" s="150">
        <v>1987</v>
      </c>
      <c r="B10" s="404">
        <v>4374085383</v>
      </c>
      <c r="C10" s="404">
        <v>1505867310</v>
      </c>
      <c r="D10" s="404">
        <v>6185596</v>
      </c>
      <c r="E10" s="404">
        <v>1332314887</v>
      </c>
      <c r="F10" s="404">
        <v>39173789</v>
      </c>
      <c r="G10" s="404">
        <v>57912715</v>
      </c>
      <c r="H10" s="222">
        <v>2941454297</v>
      </c>
      <c r="I10" s="132">
        <v>0.67247299479613287</v>
      </c>
    </row>
    <row r="11" spans="1:16" ht="16.149999999999999" customHeight="1">
      <c r="A11" s="150">
        <v>1988</v>
      </c>
      <c r="B11" s="404">
        <v>5173049472</v>
      </c>
      <c r="C11" s="404">
        <v>1702887219</v>
      </c>
      <c r="D11" s="404">
        <v>6411903</v>
      </c>
      <c r="E11" s="404">
        <v>1539553177</v>
      </c>
      <c r="F11" s="404">
        <v>35082864</v>
      </c>
      <c r="G11" s="404">
        <v>38394980</v>
      </c>
      <c r="H11" s="222">
        <v>3322330143</v>
      </c>
      <c r="I11" s="132">
        <v>0.64223823123723645</v>
      </c>
      <c r="K11" s="169"/>
      <c r="L11" s="169"/>
      <c r="M11" s="169"/>
      <c r="N11" s="169"/>
      <c r="O11" s="169"/>
      <c r="P11" s="169"/>
    </row>
    <row r="12" spans="1:16" ht="16.149999999999999" customHeight="1">
      <c r="A12" s="150">
        <v>1989</v>
      </c>
      <c r="B12" s="404">
        <v>5676279371</v>
      </c>
      <c r="C12" s="404">
        <v>1939834674</v>
      </c>
      <c r="D12" s="404">
        <v>8364069</v>
      </c>
      <c r="E12" s="404">
        <v>1794847180</v>
      </c>
      <c r="F12" s="404">
        <v>50360007</v>
      </c>
      <c r="G12" s="404">
        <v>39588930</v>
      </c>
      <c r="H12" s="222">
        <v>3832994860</v>
      </c>
      <c r="I12" s="132">
        <v>0.67526536477092647</v>
      </c>
      <c r="K12" s="169"/>
      <c r="L12" s="169"/>
      <c r="M12" s="169"/>
      <c r="N12" s="169"/>
      <c r="O12" s="169"/>
      <c r="P12" s="169"/>
    </row>
    <row r="13" spans="1:16" ht="16.149999999999999" customHeight="1">
      <c r="A13" s="150">
        <v>1990</v>
      </c>
      <c r="B13" s="404">
        <v>5705878797</v>
      </c>
      <c r="C13" s="404">
        <v>2260136023</v>
      </c>
      <c r="D13" s="404">
        <v>8187178</v>
      </c>
      <c r="E13" s="404">
        <v>2041092148</v>
      </c>
      <c r="F13" s="404">
        <v>48404287</v>
      </c>
      <c r="G13" s="404">
        <v>60232828</v>
      </c>
      <c r="H13" s="222">
        <v>4418052464</v>
      </c>
      <c r="I13" s="132">
        <v>0.77429833706297702</v>
      </c>
      <c r="K13" s="169"/>
      <c r="L13" s="169"/>
      <c r="M13" s="169"/>
      <c r="N13" s="169"/>
      <c r="O13" s="169"/>
      <c r="P13" s="169"/>
    </row>
    <row r="14" spans="1:16" ht="16.149999999999999" customHeight="1">
      <c r="A14" s="150">
        <v>1991</v>
      </c>
      <c r="B14" s="404">
        <v>5872566346</v>
      </c>
      <c r="C14" s="404">
        <v>2479929463</v>
      </c>
      <c r="D14" s="404">
        <v>14313664</v>
      </c>
      <c r="E14" s="404">
        <v>2197221205</v>
      </c>
      <c r="F14" s="404">
        <v>54477997</v>
      </c>
      <c r="G14" s="404">
        <v>61907918</v>
      </c>
      <c r="H14" s="222">
        <v>4807850247</v>
      </c>
      <c r="I14" s="132">
        <v>0.81869662490484874</v>
      </c>
      <c r="K14" s="169"/>
      <c r="L14" s="169"/>
      <c r="M14" s="169"/>
      <c r="N14" s="169"/>
      <c r="O14" s="169"/>
      <c r="P14" s="169"/>
    </row>
    <row r="15" spans="1:16" ht="16.149999999999999" customHeight="1">
      <c r="A15" s="150">
        <v>1992</v>
      </c>
      <c r="B15" s="404">
        <v>5692939950</v>
      </c>
      <c r="C15" s="404">
        <v>1978495103</v>
      </c>
      <c r="D15" s="404">
        <v>12429314</v>
      </c>
      <c r="E15" s="404">
        <v>1761651468</v>
      </c>
      <c r="F15" s="404">
        <v>52721173</v>
      </c>
      <c r="G15" s="404">
        <v>62035351</v>
      </c>
      <c r="H15" s="222">
        <v>3867332409</v>
      </c>
      <c r="I15" s="132">
        <v>0.67932078029384446</v>
      </c>
      <c r="K15" s="169"/>
      <c r="L15" s="169"/>
      <c r="M15" s="169"/>
      <c r="N15" s="169"/>
      <c r="O15" s="169"/>
      <c r="P15" s="169"/>
    </row>
    <row r="16" spans="1:16" ht="16.149999999999999" customHeight="1">
      <c r="A16" s="150">
        <v>1993</v>
      </c>
      <c r="B16" s="404">
        <v>5942544967</v>
      </c>
      <c r="C16" s="404">
        <v>1694480879</v>
      </c>
      <c r="D16" s="404">
        <v>13707161</v>
      </c>
      <c r="E16" s="404">
        <v>1511590704</v>
      </c>
      <c r="F16" s="404">
        <v>71795669</v>
      </c>
      <c r="G16" s="404">
        <v>41193634</v>
      </c>
      <c r="H16" s="222">
        <v>3332768047</v>
      </c>
      <c r="I16" s="132">
        <v>0.56083177586496169</v>
      </c>
      <c r="K16" s="169"/>
      <c r="L16" s="169"/>
      <c r="M16" s="169"/>
      <c r="N16" s="169"/>
      <c r="O16" s="169"/>
      <c r="P16" s="169"/>
    </row>
    <row r="17" spans="1:16" ht="16.149999999999999" customHeight="1">
      <c r="A17" s="150">
        <v>1994</v>
      </c>
      <c r="B17" s="404">
        <v>5034831820</v>
      </c>
      <c r="C17" s="404">
        <v>1627162824</v>
      </c>
      <c r="D17" s="404">
        <v>20470114</v>
      </c>
      <c r="E17" s="404">
        <v>1462799902</v>
      </c>
      <c r="F17" s="404">
        <v>86145428</v>
      </c>
      <c r="G17" s="404">
        <v>44558857</v>
      </c>
      <c r="H17" s="222">
        <v>3241137125</v>
      </c>
      <c r="I17" s="132">
        <v>0.64374287779090111</v>
      </c>
      <c r="K17" s="169"/>
      <c r="L17" s="169"/>
      <c r="M17" s="169"/>
      <c r="N17" s="169"/>
      <c r="O17" s="169"/>
      <c r="P17" s="169"/>
    </row>
    <row r="18" spans="1:16" ht="16.149999999999999" customHeight="1">
      <c r="A18" s="150">
        <v>1995</v>
      </c>
      <c r="B18" s="404">
        <v>3790122732</v>
      </c>
      <c r="C18" s="404">
        <v>1763757976</v>
      </c>
      <c r="D18" s="404">
        <v>26907658</v>
      </c>
      <c r="E18" s="404">
        <v>1614050035</v>
      </c>
      <c r="F18" s="404">
        <v>100551537</v>
      </c>
      <c r="G18" s="404">
        <v>54054205</v>
      </c>
      <c r="H18" s="222">
        <v>3559321411</v>
      </c>
      <c r="I18" s="132">
        <v>0.9391045258109072</v>
      </c>
      <c r="K18" s="169"/>
      <c r="L18" s="169"/>
      <c r="M18" s="169"/>
      <c r="N18" s="169"/>
      <c r="O18" s="169"/>
      <c r="P18" s="169"/>
    </row>
    <row r="19" spans="1:16" ht="16.149999999999999" customHeight="1">
      <c r="A19" s="150">
        <v>1996</v>
      </c>
      <c r="B19" s="404">
        <v>3748266525</v>
      </c>
      <c r="C19" s="404">
        <v>1952710231</v>
      </c>
      <c r="D19" s="404">
        <v>33327458</v>
      </c>
      <c r="E19" s="404">
        <v>1709419534</v>
      </c>
      <c r="F19" s="404">
        <v>104902971</v>
      </c>
      <c r="G19" s="404">
        <v>71295292</v>
      </c>
      <c r="H19" s="222">
        <v>3871655486</v>
      </c>
      <c r="I19" s="132">
        <v>1.0329189400425574</v>
      </c>
      <c r="K19" s="169"/>
      <c r="L19" s="169"/>
      <c r="M19" s="169"/>
      <c r="N19" s="169"/>
      <c r="O19" s="169"/>
      <c r="P19" s="169"/>
    </row>
    <row r="20" spans="1:16" ht="16.149999999999999" customHeight="1">
      <c r="A20" s="150">
        <v>1997</v>
      </c>
      <c r="B20" s="404">
        <v>3928295572</v>
      </c>
      <c r="C20" s="404">
        <v>2314769584</v>
      </c>
      <c r="D20" s="404">
        <v>42246558</v>
      </c>
      <c r="E20" s="404">
        <v>2005310421</v>
      </c>
      <c r="F20" s="404">
        <v>137495048</v>
      </c>
      <c r="G20" s="404">
        <v>102063629</v>
      </c>
      <c r="H20" s="222">
        <v>4601885240</v>
      </c>
      <c r="I20" s="132">
        <v>1.1714712285911464</v>
      </c>
      <c r="K20" s="169"/>
      <c r="L20" s="169"/>
      <c r="M20" s="169"/>
      <c r="N20" s="169"/>
      <c r="O20" s="169"/>
      <c r="P20" s="169"/>
    </row>
    <row r="21" spans="1:16" ht="16.149999999999999" customHeight="1">
      <c r="A21" s="150">
        <v>1998</v>
      </c>
      <c r="B21" s="404">
        <v>4333560338</v>
      </c>
      <c r="C21" s="404">
        <v>2769276578</v>
      </c>
      <c r="D21" s="404">
        <v>53719836</v>
      </c>
      <c r="E21" s="404">
        <v>2625405204</v>
      </c>
      <c r="F21" s="404">
        <v>224719529</v>
      </c>
      <c r="G21" s="404">
        <v>202348036</v>
      </c>
      <c r="H21" s="222">
        <v>5875469183</v>
      </c>
      <c r="I21" s="132">
        <v>1.3558064789081978</v>
      </c>
      <c r="K21" s="169"/>
      <c r="L21" s="169"/>
      <c r="M21" s="169"/>
      <c r="N21" s="169"/>
      <c r="O21" s="169"/>
      <c r="P21" s="169"/>
    </row>
    <row r="22" spans="1:16" ht="16.149999999999999" customHeight="1">
      <c r="A22" s="150">
        <v>1999</v>
      </c>
      <c r="B22" s="404">
        <v>4551546853</v>
      </c>
      <c r="C22" s="404">
        <v>3050289815</v>
      </c>
      <c r="D22" s="404">
        <v>55050181</v>
      </c>
      <c r="E22" s="404">
        <v>3018397503</v>
      </c>
      <c r="F22" s="404">
        <v>195608979</v>
      </c>
      <c r="G22" s="404">
        <v>247279793</v>
      </c>
      <c r="H22" s="222">
        <v>6566626271</v>
      </c>
      <c r="I22" s="132">
        <v>1.4427240854769687</v>
      </c>
      <c r="K22" s="169"/>
      <c r="L22" s="169"/>
      <c r="M22" s="169"/>
      <c r="N22" s="169"/>
      <c r="O22" s="169"/>
      <c r="P22" s="169"/>
    </row>
    <row r="23" spans="1:16" ht="16.149999999999999" customHeight="1">
      <c r="A23" s="150">
        <v>2000</v>
      </c>
      <c r="B23" s="404">
        <v>5923031823</v>
      </c>
      <c r="C23" s="404">
        <v>3421624057</v>
      </c>
      <c r="D23" s="404">
        <v>72139293</v>
      </c>
      <c r="E23" s="404">
        <v>3543359836</v>
      </c>
      <c r="F23" s="404">
        <v>227664515</v>
      </c>
      <c r="G23" s="404">
        <v>413299589</v>
      </c>
      <c r="H23" s="222">
        <v>7678087290</v>
      </c>
      <c r="I23" s="132">
        <v>1.2963103220524432</v>
      </c>
      <c r="K23" s="169"/>
      <c r="L23" s="169"/>
      <c r="M23" s="169"/>
      <c r="N23" s="169"/>
      <c r="O23" s="169"/>
      <c r="P23" s="169"/>
    </row>
    <row r="24" spans="1:16" ht="16.149999999999999" customHeight="1">
      <c r="A24" s="150">
        <v>2001</v>
      </c>
      <c r="B24" s="404">
        <v>10120534867</v>
      </c>
      <c r="C24" s="404">
        <v>4826547365</v>
      </c>
      <c r="D24" s="404">
        <v>108553634</v>
      </c>
      <c r="E24" s="404">
        <v>5325276765</v>
      </c>
      <c r="F24" s="404">
        <v>392601045</v>
      </c>
      <c r="G24" s="404">
        <v>620105914</v>
      </c>
      <c r="H24" s="222">
        <v>11273084723</v>
      </c>
      <c r="I24" s="132">
        <v>1.1138823067304591</v>
      </c>
      <c r="K24" s="169"/>
      <c r="L24" s="169"/>
      <c r="M24" s="169"/>
      <c r="N24" s="169"/>
      <c r="O24" s="169"/>
      <c r="P24" s="169"/>
    </row>
    <row r="25" spans="1:16" ht="16.149999999999999" customHeight="1">
      <c r="A25" s="150">
        <v>2002</v>
      </c>
      <c r="B25" s="404">
        <v>13434933190</v>
      </c>
      <c r="C25" s="404">
        <v>4757722120</v>
      </c>
      <c r="D25" s="404">
        <v>100074490</v>
      </c>
      <c r="E25" s="404">
        <v>5446737719</v>
      </c>
      <c r="F25" s="404">
        <v>348299064</v>
      </c>
      <c r="G25" s="404">
        <v>891962884</v>
      </c>
      <c r="H25" s="222">
        <v>11544796277</v>
      </c>
      <c r="I25" s="132">
        <v>0.85931177429249272</v>
      </c>
      <c r="K25" s="169"/>
      <c r="L25" s="169"/>
      <c r="M25" s="169"/>
      <c r="N25" s="169"/>
      <c r="O25" s="169"/>
      <c r="P25" s="169"/>
    </row>
    <row r="26" spans="1:16" ht="16.149999999999999" customHeight="1">
      <c r="A26" s="150">
        <v>2003</v>
      </c>
      <c r="B26" s="404">
        <v>19476317174</v>
      </c>
      <c r="C26" s="404">
        <v>4524176610</v>
      </c>
      <c r="D26" s="404">
        <v>155298113</v>
      </c>
      <c r="E26" s="404">
        <v>5012853957</v>
      </c>
      <c r="F26" s="404">
        <v>366359195</v>
      </c>
      <c r="G26" s="404">
        <v>1266351826</v>
      </c>
      <c r="H26" s="222">
        <v>11325039701</v>
      </c>
      <c r="I26" s="132">
        <v>0.5814774733756346</v>
      </c>
      <c r="K26" s="169"/>
      <c r="L26" s="169"/>
      <c r="M26" s="169"/>
      <c r="N26" s="169"/>
      <c r="O26" s="169"/>
      <c r="P26" s="169"/>
    </row>
    <row r="27" spans="1:16" ht="16.149999999999999" customHeight="1">
      <c r="A27" s="150">
        <v>2004</v>
      </c>
      <c r="B27" s="404">
        <v>23096787993</v>
      </c>
      <c r="C27" s="404">
        <v>3187898211</v>
      </c>
      <c r="D27" s="404">
        <v>131037417</v>
      </c>
      <c r="E27" s="404">
        <v>4013933588</v>
      </c>
      <c r="F27" s="404">
        <v>314579553</v>
      </c>
      <c r="G27" s="404">
        <v>1383892211</v>
      </c>
      <c r="H27" s="222">
        <v>9031340980</v>
      </c>
      <c r="I27" s="132">
        <v>0.39102151272017349</v>
      </c>
      <c r="K27" s="169"/>
      <c r="L27" s="169"/>
      <c r="M27" s="169"/>
      <c r="N27" s="169"/>
      <c r="O27" s="169"/>
      <c r="P27" s="169"/>
    </row>
    <row r="28" spans="1:16" ht="16.149999999999999" customHeight="1">
      <c r="A28" s="150">
        <v>2005</v>
      </c>
      <c r="B28" s="404">
        <v>21398213516</v>
      </c>
      <c r="C28" s="404">
        <v>2510240239</v>
      </c>
      <c r="D28" s="404">
        <v>115621027</v>
      </c>
      <c r="E28" s="404">
        <v>3609067188</v>
      </c>
      <c r="F28" s="404">
        <v>308377144</v>
      </c>
      <c r="G28" s="404">
        <v>1119040723</v>
      </c>
      <c r="H28" s="222">
        <v>7662346321</v>
      </c>
      <c r="I28" s="132">
        <v>0.35808345940985514</v>
      </c>
      <c r="K28" s="169"/>
      <c r="L28" s="169"/>
      <c r="M28" s="169"/>
      <c r="N28" s="169"/>
      <c r="O28" s="169"/>
      <c r="P28" s="169"/>
    </row>
    <row r="29" spans="1:16" ht="16.149999999999999" customHeight="1">
      <c r="A29" s="150">
        <v>2006</v>
      </c>
      <c r="B29" s="404">
        <v>17232800048</v>
      </c>
      <c r="C29" s="404">
        <v>2593393462</v>
      </c>
      <c r="D29" s="404">
        <v>125477916</v>
      </c>
      <c r="E29" s="404">
        <v>3712607028</v>
      </c>
      <c r="F29" s="404">
        <v>336396264</v>
      </c>
      <c r="G29" s="404">
        <v>780014540</v>
      </c>
      <c r="H29" s="222">
        <v>7547889210</v>
      </c>
      <c r="I29" s="132">
        <v>0.43799551953113919</v>
      </c>
      <c r="K29" s="169"/>
      <c r="L29" s="169"/>
      <c r="M29" s="169"/>
      <c r="N29" s="169"/>
      <c r="O29" s="169"/>
      <c r="P29" s="169"/>
    </row>
    <row r="30" spans="1:16" ht="16.149999999999999" customHeight="1">
      <c r="A30" s="150">
        <v>2007</v>
      </c>
      <c r="B30" s="404">
        <v>13275649610</v>
      </c>
      <c r="C30" s="404">
        <v>2727274188</v>
      </c>
      <c r="D30" s="404">
        <v>145040143</v>
      </c>
      <c r="E30" s="404">
        <v>3975419488</v>
      </c>
      <c r="F30" s="404">
        <v>378326001</v>
      </c>
      <c r="G30" s="404">
        <v>861011214</v>
      </c>
      <c r="H30" s="222">
        <v>8087071034</v>
      </c>
      <c r="I30" s="132">
        <v>0.60916574868836115</v>
      </c>
      <c r="K30" s="169"/>
      <c r="L30" s="169"/>
      <c r="M30" s="169"/>
      <c r="N30" s="169"/>
      <c r="O30" s="169"/>
      <c r="P30" s="169"/>
    </row>
    <row r="31" spans="1:16" ht="16.149999999999999" customHeight="1">
      <c r="A31" s="150">
        <v>2008</v>
      </c>
      <c r="B31" s="404">
        <v>10764323955</v>
      </c>
      <c r="C31" s="404">
        <v>2770334825</v>
      </c>
      <c r="D31" s="404">
        <v>162837358</v>
      </c>
      <c r="E31" s="404">
        <v>3965808413</v>
      </c>
      <c r="F31" s="404">
        <v>384893373</v>
      </c>
      <c r="G31" s="404">
        <v>534172787</v>
      </c>
      <c r="H31" s="222">
        <v>7818046756</v>
      </c>
      <c r="I31" s="132">
        <v>0.7262924070924619</v>
      </c>
      <c r="K31" s="169"/>
      <c r="L31" s="169"/>
      <c r="M31" s="169"/>
      <c r="N31" s="169"/>
      <c r="O31" s="169"/>
      <c r="P31" s="169"/>
    </row>
    <row r="32" spans="1:16" ht="16.149999999999999" customHeight="1">
      <c r="A32" s="150">
        <v>2009</v>
      </c>
      <c r="B32" s="404">
        <v>8896709168</v>
      </c>
      <c r="C32" s="404">
        <v>2635951007</v>
      </c>
      <c r="D32" s="404">
        <v>159132232</v>
      </c>
      <c r="E32" s="404">
        <v>3763038281</v>
      </c>
      <c r="F32" s="404">
        <v>375169585</v>
      </c>
      <c r="G32" s="404">
        <v>526737802</v>
      </c>
      <c r="H32" s="222">
        <v>7460028907</v>
      </c>
      <c r="I32" s="132">
        <v>0.83851554166033626</v>
      </c>
      <c r="K32" s="509" t="s">
        <v>516</v>
      </c>
      <c r="L32" s="510"/>
      <c r="M32" s="511"/>
      <c r="N32" s="169"/>
      <c r="O32" s="169"/>
      <c r="P32" s="169"/>
    </row>
    <row r="33" spans="1:16" ht="16.149999999999999" customHeight="1">
      <c r="A33" s="259">
        <v>2010</v>
      </c>
      <c r="B33" s="405">
        <v>9398228398</v>
      </c>
      <c r="C33" s="405">
        <v>2638896065</v>
      </c>
      <c r="D33" s="405">
        <v>167628893</v>
      </c>
      <c r="E33" s="405">
        <v>3834022165</v>
      </c>
      <c r="F33" s="405">
        <v>372090950</v>
      </c>
      <c r="G33" s="405">
        <v>606343669</v>
      </c>
      <c r="H33" s="224">
        <v>7618981742</v>
      </c>
      <c r="I33" s="134">
        <v>0.81068276055318744</v>
      </c>
      <c r="K33" s="395" t="s">
        <v>517</v>
      </c>
      <c r="L33" s="164" t="s">
        <v>280</v>
      </c>
      <c r="M33" s="147" t="s">
        <v>518</v>
      </c>
      <c r="N33" s="169"/>
      <c r="O33" s="169"/>
      <c r="P33" s="169"/>
    </row>
    <row r="34" spans="1:16" ht="16.149999999999999" customHeight="1">
      <c r="A34" s="366">
        <v>2011</v>
      </c>
      <c r="B34" s="406">
        <v>10129285077</v>
      </c>
      <c r="C34" s="406">
        <v>2598490238</v>
      </c>
      <c r="D34" s="406">
        <v>181088413</v>
      </c>
      <c r="E34" s="222">
        <f>+(K34+L34)*(1-M34)</f>
        <v>3456673655</v>
      </c>
      <c r="F34" s="406">
        <v>397352825</v>
      </c>
      <c r="G34" s="406">
        <v>816031403</v>
      </c>
      <c r="H34" s="257">
        <v>7449636534</v>
      </c>
      <c r="I34" s="258">
        <v>0.73545531371364725</v>
      </c>
      <c r="K34" s="396">
        <v>3498006846</v>
      </c>
      <c r="L34" s="135">
        <v>289332337</v>
      </c>
      <c r="M34" s="397">
        <f>+(L34/0.875)/(K34+L34)</f>
        <v>8.7308136932714747E-2</v>
      </c>
      <c r="N34" s="169"/>
      <c r="O34" s="169"/>
      <c r="P34" s="169"/>
    </row>
    <row r="35" spans="1:16" ht="16.149999999999999" customHeight="1">
      <c r="A35" s="366">
        <v>2012</v>
      </c>
      <c r="B35" s="406">
        <v>11692134220</v>
      </c>
      <c r="C35" s="406">
        <v>2607277617</v>
      </c>
      <c r="D35" s="406">
        <v>226624384</v>
      </c>
      <c r="E35" s="367">
        <f>K35</f>
        <v>3315563021</v>
      </c>
      <c r="F35" s="406">
        <v>437395736</v>
      </c>
      <c r="G35" s="406">
        <v>1009801100</v>
      </c>
      <c r="H35" s="257">
        <v>7596661858</v>
      </c>
      <c r="I35" s="258">
        <v>0.64972414061117412</v>
      </c>
      <c r="K35" s="396">
        <v>3315563021</v>
      </c>
      <c r="L35" s="135">
        <v>313630340</v>
      </c>
      <c r="M35" s="398"/>
      <c r="N35" s="169"/>
      <c r="O35" s="169"/>
      <c r="P35" s="169"/>
    </row>
    <row r="36" spans="1:16" ht="16.149999999999999" customHeight="1">
      <c r="A36" s="366">
        <v>2013</v>
      </c>
      <c r="B36" s="406">
        <v>14149827161</v>
      </c>
      <c r="C36" s="406">
        <v>2609019076</v>
      </c>
      <c r="D36" s="406">
        <v>254410788</v>
      </c>
      <c r="E36" s="367">
        <f t="shared" ref="E36:E41" si="0">K36</f>
        <v>3126537115</v>
      </c>
      <c r="F36" s="406">
        <v>491123538</v>
      </c>
      <c r="G36" s="406">
        <v>1742570108</v>
      </c>
      <c r="H36" s="257">
        <v>8223660625</v>
      </c>
      <c r="I36" s="258">
        <v>0.58118452836414825</v>
      </c>
      <c r="K36" s="396">
        <v>3126537115</v>
      </c>
      <c r="L36" s="135">
        <v>304675971</v>
      </c>
      <c r="M36" s="398"/>
      <c r="N36" s="169"/>
      <c r="O36" s="169"/>
      <c r="P36" s="169"/>
    </row>
    <row r="37" spans="1:16" ht="16.149999999999999" customHeight="1">
      <c r="A37" s="150">
        <v>2014</v>
      </c>
      <c r="B37" s="404">
        <v>15997914039</v>
      </c>
      <c r="C37" s="404">
        <v>2654684051</v>
      </c>
      <c r="D37" s="404">
        <v>359773250</v>
      </c>
      <c r="E37" s="367">
        <f t="shared" si="0"/>
        <v>2957257972</v>
      </c>
      <c r="F37" s="404">
        <v>570848001</v>
      </c>
      <c r="G37" s="404">
        <v>2842633281</v>
      </c>
      <c r="H37" s="257">
        <v>9385196555</v>
      </c>
      <c r="I37" s="258">
        <v>0.58665126791659217</v>
      </c>
      <c r="K37" s="396">
        <v>2957257972</v>
      </c>
      <c r="L37" s="135">
        <v>287811107</v>
      </c>
      <c r="M37" s="398"/>
      <c r="N37" s="169"/>
      <c r="O37" s="169"/>
      <c r="P37" s="169"/>
    </row>
    <row r="38" spans="1:16" ht="16.149999999999999" customHeight="1">
      <c r="A38" s="150">
        <v>2015</v>
      </c>
      <c r="B38" s="404">
        <v>17059168432</v>
      </c>
      <c r="C38" s="404">
        <v>2533728675</v>
      </c>
      <c r="D38" s="404">
        <v>489211212</v>
      </c>
      <c r="E38" s="367">
        <f t="shared" si="0"/>
        <v>2736789782</v>
      </c>
      <c r="F38" s="404">
        <v>766863317</v>
      </c>
      <c r="G38" s="404">
        <v>3471587166</v>
      </c>
      <c r="H38" s="257">
        <v>9998180152</v>
      </c>
      <c r="I38" s="258">
        <v>0.586088366021709</v>
      </c>
      <c r="K38" s="396">
        <v>2736789782</v>
      </c>
      <c r="L38" s="135">
        <v>260423516</v>
      </c>
      <c r="M38" s="398"/>
      <c r="N38" s="169"/>
      <c r="O38" s="169"/>
      <c r="P38" s="169"/>
    </row>
    <row r="39" spans="1:16" ht="16.149999999999999" customHeight="1">
      <c r="A39" s="150">
        <v>2016</v>
      </c>
      <c r="B39" s="404">
        <v>17952877787</v>
      </c>
      <c r="C39" s="404">
        <v>2148412575</v>
      </c>
      <c r="D39" s="404">
        <v>649240851</v>
      </c>
      <c r="E39" s="367">
        <f t="shared" si="0"/>
        <v>2348478166</v>
      </c>
      <c r="F39" s="404">
        <v>976318486</v>
      </c>
      <c r="G39" s="404">
        <v>3881776066</v>
      </c>
      <c r="H39" s="223">
        <v>10004226144</v>
      </c>
      <c r="I39" s="8">
        <v>0.55724916432307248</v>
      </c>
      <c r="K39" s="396">
        <v>2348478166</v>
      </c>
      <c r="L39" s="135">
        <v>221714281</v>
      </c>
      <c r="M39" s="398"/>
      <c r="N39" s="169"/>
      <c r="O39" s="169"/>
      <c r="P39" s="169"/>
    </row>
    <row r="40" spans="1:16" ht="16.149999999999999" customHeight="1">
      <c r="A40" s="150">
        <v>2017</v>
      </c>
      <c r="B40" s="404">
        <v>17672417401</v>
      </c>
      <c r="C40" s="404">
        <v>1513575313</v>
      </c>
      <c r="D40" s="404">
        <v>910934330</v>
      </c>
      <c r="E40" s="367">
        <f t="shared" si="0"/>
        <v>1818962435</v>
      </c>
      <c r="F40" s="404">
        <v>1281400143</v>
      </c>
      <c r="G40" s="404">
        <v>4617739953</v>
      </c>
      <c r="H40" s="223">
        <v>10142612174</v>
      </c>
      <c r="I40" s="8">
        <v>0.57392330340873887</v>
      </c>
      <c r="K40" s="396">
        <v>1818962435</v>
      </c>
      <c r="L40" s="135">
        <v>178080962</v>
      </c>
      <c r="M40" s="399"/>
      <c r="N40" s="141"/>
      <c r="O40" s="169"/>
      <c r="P40" s="169"/>
    </row>
    <row r="41" spans="1:16" ht="16.149999999999999" customHeight="1">
      <c r="A41" s="150">
        <v>2018</v>
      </c>
      <c r="B41" s="404">
        <v>17420199712</v>
      </c>
      <c r="C41" s="404">
        <v>682690511</v>
      </c>
      <c r="D41" s="404">
        <v>961605325</v>
      </c>
      <c r="E41" s="367">
        <f t="shared" si="0"/>
        <v>1044242404</v>
      </c>
      <c r="F41" s="404">
        <v>1568577049</v>
      </c>
      <c r="G41" s="404">
        <v>5814092079</v>
      </c>
      <c r="H41" s="223">
        <v>10071207368</v>
      </c>
      <c r="I41" s="8">
        <v>0.57813386381916121</v>
      </c>
      <c r="K41" s="402">
        <v>1044242404</v>
      </c>
      <c r="L41" s="403">
        <v>109709096</v>
      </c>
      <c r="M41" s="401"/>
      <c r="N41" s="141"/>
      <c r="O41" s="169"/>
      <c r="P41" s="169"/>
    </row>
    <row r="42" spans="1:16" ht="18" customHeight="1">
      <c r="A42" s="6"/>
      <c r="B42" s="5"/>
      <c r="C42" s="5"/>
      <c r="D42" s="5"/>
      <c r="E42" s="5"/>
      <c r="F42" s="5"/>
      <c r="G42" s="7"/>
      <c r="H42" s="7"/>
      <c r="I42" s="8"/>
      <c r="K42" s="140"/>
      <c r="L42" s="140"/>
      <c r="M42" s="140"/>
      <c r="N42" s="140"/>
    </row>
    <row r="43" spans="1:16" ht="16.149999999999999" customHeight="1">
      <c r="A43" s="9" t="s">
        <v>12</v>
      </c>
      <c r="B43" s="241" t="s">
        <v>339</v>
      </c>
      <c r="C43" s="5"/>
      <c r="D43" s="5"/>
      <c r="E43" s="5"/>
      <c r="F43" s="5"/>
      <c r="G43" s="7"/>
      <c r="H43" s="7"/>
      <c r="I43" s="8"/>
    </row>
    <row r="44" spans="1:16" ht="27" customHeight="1">
      <c r="A44" s="9" t="s">
        <v>13</v>
      </c>
      <c r="B44" s="508" t="s">
        <v>14</v>
      </c>
      <c r="C44" s="508"/>
      <c r="D44" s="508"/>
      <c r="E44" s="508"/>
      <c r="F44" s="508"/>
      <c r="G44" s="508"/>
      <c r="H44" s="508"/>
      <c r="I44" s="508"/>
    </row>
    <row r="45" spans="1:16" ht="18" customHeight="1">
      <c r="A45" s="31"/>
      <c r="B45" s="139"/>
      <c r="C45" s="139"/>
      <c r="D45" s="139"/>
      <c r="E45" s="139"/>
      <c r="F45" s="139"/>
      <c r="G45" s="139"/>
      <c r="H45" s="139"/>
      <c r="I45" s="139"/>
      <c r="J45" s="139"/>
    </row>
    <row r="46" spans="1:16" ht="18" customHeight="1">
      <c r="A46" s="260" t="s">
        <v>345</v>
      </c>
      <c r="B46" s="139" t="s">
        <v>346</v>
      </c>
      <c r="C46" s="139"/>
      <c r="D46" s="139"/>
      <c r="E46" s="139"/>
      <c r="F46" s="139"/>
      <c r="G46" s="139"/>
      <c r="H46" s="139"/>
      <c r="I46" s="139"/>
      <c r="J46" s="139"/>
    </row>
    <row r="47" spans="1:16">
      <c r="B47" s="169"/>
      <c r="C47" s="169"/>
      <c r="D47" s="169"/>
      <c r="E47" s="169"/>
      <c r="F47" s="169"/>
      <c r="G47" s="169"/>
    </row>
    <row r="48" spans="1:16">
      <c r="B48" s="169"/>
      <c r="C48" s="169"/>
      <c r="D48" s="169"/>
      <c r="E48" s="169"/>
      <c r="F48" s="169"/>
      <c r="G48" s="169"/>
    </row>
    <row r="49" spans="2:7">
      <c r="B49" s="169"/>
      <c r="C49" s="169"/>
      <c r="D49" s="169"/>
      <c r="E49" s="169"/>
      <c r="F49" s="169"/>
      <c r="G49" s="169"/>
    </row>
    <row r="50" spans="2:7">
      <c r="B50" s="169"/>
      <c r="C50" s="169"/>
      <c r="D50" s="169"/>
      <c r="E50" s="169"/>
      <c r="F50" s="169"/>
      <c r="G50" s="169"/>
    </row>
    <row r="51" spans="2:7">
      <c r="B51" s="169"/>
      <c r="C51" s="169"/>
      <c r="D51" s="169"/>
      <c r="E51" s="169"/>
      <c r="F51" s="169"/>
      <c r="G51" s="169"/>
    </row>
    <row r="52" spans="2:7">
      <c r="B52" s="169"/>
      <c r="C52" s="169"/>
      <c r="D52" s="169"/>
      <c r="E52" s="169"/>
      <c r="F52" s="169"/>
      <c r="G52" s="169"/>
    </row>
    <row r="53" spans="2:7">
      <c r="B53" s="169"/>
      <c r="C53" s="169"/>
      <c r="D53" s="169"/>
      <c r="E53" s="169"/>
      <c r="F53" s="169"/>
      <c r="G53" s="169"/>
    </row>
    <row r="54" spans="2:7">
      <c r="B54" s="169"/>
      <c r="C54" s="169"/>
      <c r="D54" s="169"/>
      <c r="E54" s="169"/>
      <c r="F54" s="169"/>
      <c r="G54" s="169"/>
    </row>
    <row r="55" spans="2:7">
      <c r="B55" s="169"/>
      <c r="C55" s="169"/>
      <c r="D55" s="169"/>
      <c r="E55" s="169"/>
      <c r="F55" s="169"/>
      <c r="G55" s="169"/>
    </row>
    <row r="56" spans="2:7">
      <c r="B56" s="169"/>
      <c r="C56" s="169"/>
      <c r="D56" s="169"/>
      <c r="E56" s="169"/>
      <c r="F56" s="169"/>
      <c r="G56" s="169"/>
    </row>
    <row r="57" spans="2:7">
      <c r="B57" s="169"/>
      <c r="C57" s="169"/>
      <c r="D57" s="169"/>
      <c r="E57" s="169"/>
      <c r="F57" s="169"/>
      <c r="G57" s="169"/>
    </row>
    <row r="58" spans="2:7">
      <c r="B58" s="169"/>
      <c r="C58" s="169"/>
      <c r="D58" s="169"/>
      <c r="E58" s="169"/>
      <c r="F58" s="169"/>
      <c r="G58" s="169"/>
    </row>
    <row r="59" spans="2:7">
      <c r="B59" s="169"/>
      <c r="C59" s="169"/>
      <c r="D59" s="169"/>
      <c r="E59" s="169"/>
      <c r="F59" s="169"/>
      <c r="G59" s="169"/>
    </row>
    <row r="60" spans="2:7">
      <c r="B60" s="169"/>
      <c r="C60" s="169"/>
      <c r="D60" s="169"/>
      <c r="E60" s="169"/>
      <c r="F60" s="169"/>
      <c r="G60" s="169"/>
    </row>
    <row r="61" spans="2:7">
      <c r="B61" s="169"/>
      <c r="C61" s="169"/>
      <c r="D61" s="169"/>
      <c r="E61" s="169"/>
      <c r="F61" s="169"/>
      <c r="G61" s="169"/>
    </row>
    <row r="62" spans="2:7">
      <c r="B62" s="169"/>
      <c r="C62" s="169"/>
      <c r="D62" s="169"/>
      <c r="E62" s="169"/>
      <c r="F62" s="169"/>
      <c r="G62" s="169"/>
    </row>
    <row r="63" spans="2:7">
      <c r="B63" s="169"/>
      <c r="C63" s="169"/>
      <c r="D63" s="169"/>
      <c r="E63" s="169"/>
      <c r="F63" s="169"/>
      <c r="G63" s="169"/>
    </row>
    <row r="64" spans="2:7">
      <c r="B64" s="169"/>
      <c r="C64" s="169"/>
      <c r="D64" s="169"/>
      <c r="E64" s="169"/>
      <c r="F64" s="169"/>
      <c r="G64" s="169"/>
    </row>
    <row r="65" spans="2:7">
      <c r="B65" s="169"/>
      <c r="C65" s="169"/>
      <c r="D65" s="169"/>
      <c r="E65" s="169"/>
      <c r="F65" s="169"/>
      <c r="G65" s="169"/>
    </row>
    <row r="66" spans="2:7">
      <c r="B66" s="169"/>
      <c r="C66" s="169"/>
      <c r="D66" s="169"/>
      <c r="E66" s="169"/>
      <c r="F66" s="169"/>
      <c r="G66" s="169"/>
    </row>
    <row r="67" spans="2:7">
      <c r="B67" s="169"/>
      <c r="C67" s="169"/>
      <c r="D67" s="169"/>
      <c r="E67" s="169"/>
      <c r="F67" s="169"/>
      <c r="G67" s="169"/>
    </row>
    <row r="68" spans="2:7">
      <c r="B68" s="169"/>
      <c r="C68" s="169"/>
      <c r="D68" s="169"/>
      <c r="E68" s="169"/>
      <c r="F68" s="169"/>
      <c r="G68" s="169"/>
    </row>
    <row r="69" spans="2:7">
      <c r="B69" s="169"/>
      <c r="C69" s="169"/>
      <c r="D69" s="169"/>
      <c r="E69" s="169"/>
      <c r="F69" s="169"/>
      <c r="G69" s="169"/>
    </row>
    <row r="70" spans="2:7">
      <c r="B70" s="169"/>
      <c r="C70" s="169"/>
      <c r="D70" s="169"/>
      <c r="E70" s="169"/>
      <c r="F70" s="169"/>
      <c r="G70" s="169"/>
    </row>
    <row r="71" spans="2:7">
      <c r="B71" s="169"/>
      <c r="C71" s="169"/>
      <c r="D71" s="169"/>
      <c r="E71" s="169"/>
      <c r="F71" s="169"/>
      <c r="G71" s="169"/>
    </row>
    <row r="72" spans="2:7">
      <c r="B72" s="169"/>
      <c r="C72" s="169"/>
      <c r="D72" s="169"/>
      <c r="E72" s="169"/>
      <c r="F72" s="169"/>
      <c r="G72" s="169"/>
    </row>
    <row r="73" spans="2:7">
      <c r="B73" s="169"/>
      <c r="C73" s="169"/>
      <c r="D73" s="169"/>
      <c r="E73" s="169"/>
      <c r="F73" s="169"/>
      <c r="G73" s="169"/>
    </row>
    <row r="74" spans="2:7">
      <c r="B74" s="169"/>
      <c r="C74" s="169"/>
      <c r="D74" s="169"/>
      <c r="E74" s="169"/>
      <c r="F74" s="169"/>
      <c r="G74" s="169"/>
    </row>
    <row r="75" spans="2:7">
      <c r="B75" s="169"/>
      <c r="C75" s="169"/>
      <c r="D75" s="169"/>
      <c r="E75" s="169"/>
      <c r="F75" s="169"/>
      <c r="G75" s="169"/>
    </row>
    <row r="76" spans="2:7">
      <c r="B76" s="169"/>
      <c r="C76" s="169"/>
      <c r="D76" s="169"/>
      <c r="E76" s="169"/>
      <c r="F76" s="169"/>
      <c r="G76" s="169"/>
    </row>
    <row r="77" spans="2:7">
      <c r="B77" s="169"/>
      <c r="C77" s="169"/>
      <c r="D77" s="169"/>
      <c r="E77" s="169"/>
      <c r="F77" s="169"/>
      <c r="G77" s="169"/>
    </row>
    <row r="78" spans="2:7">
      <c r="B78" s="169"/>
      <c r="C78" s="169"/>
      <c r="D78" s="169"/>
      <c r="E78" s="169"/>
      <c r="F78" s="169"/>
      <c r="G78" s="169"/>
    </row>
    <row r="79" spans="2:7">
      <c r="B79" s="169"/>
      <c r="C79" s="169"/>
      <c r="D79" s="169"/>
      <c r="E79" s="169"/>
      <c r="F79" s="169"/>
      <c r="G79" s="169"/>
    </row>
    <row r="80" spans="2:7">
      <c r="B80" s="169"/>
      <c r="C80" s="169"/>
      <c r="D80" s="169"/>
      <c r="E80" s="169"/>
      <c r="F80" s="169"/>
      <c r="G80" s="169"/>
    </row>
    <row r="81" spans="2:7">
      <c r="B81" s="169"/>
      <c r="C81" s="169"/>
      <c r="D81" s="169"/>
      <c r="E81" s="169"/>
      <c r="F81" s="169"/>
      <c r="G81" s="169"/>
    </row>
  </sheetData>
  <mergeCells count="4">
    <mergeCell ref="A1:I1"/>
    <mergeCell ref="A2:I2"/>
    <mergeCell ref="B44:I44"/>
    <mergeCell ref="K32:M32"/>
  </mergeCells>
  <pageMargins left="0.7" right="0.7" top="0.75" bottom="0.75" header="0.3" footer="0.3"/>
  <pageSetup scale="8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V41"/>
  <sheetViews>
    <sheetView workbookViewId="0">
      <selection sqref="A1:V1"/>
    </sheetView>
  </sheetViews>
  <sheetFormatPr defaultColWidth="9.140625" defaultRowHeight="12.75"/>
  <cols>
    <col min="1" max="1" width="18.85546875" style="253" customWidth="1"/>
    <col min="2" max="20" width="7.7109375" style="253" customWidth="1"/>
    <col min="21" max="21" width="7.7109375" style="375" customWidth="1"/>
    <col min="22" max="22" width="16.28515625" style="253" customWidth="1"/>
    <col min="23" max="16384" width="9.140625" style="253"/>
  </cols>
  <sheetData>
    <row r="1" spans="1:22" ht="14.45" customHeight="1">
      <c r="A1" s="512" t="s">
        <v>475</v>
      </c>
      <c r="B1" s="512"/>
      <c r="C1" s="512"/>
      <c r="D1" s="512"/>
      <c r="E1" s="512"/>
      <c r="F1" s="512"/>
      <c r="G1" s="512"/>
      <c r="H1" s="512"/>
      <c r="I1" s="512"/>
      <c r="J1" s="512"/>
      <c r="K1" s="512"/>
      <c r="L1" s="512"/>
      <c r="M1" s="512"/>
      <c r="N1" s="512"/>
      <c r="O1" s="512"/>
      <c r="P1" s="512"/>
      <c r="Q1" s="512"/>
      <c r="R1" s="512"/>
      <c r="S1" s="512"/>
      <c r="T1" s="512"/>
      <c r="U1" s="512"/>
      <c r="V1" s="512"/>
    </row>
    <row r="2" spans="1:22">
      <c r="A2" s="248"/>
      <c r="B2" s="248"/>
      <c r="C2" s="248"/>
      <c r="D2" s="248"/>
      <c r="E2" s="248"/>
      <c r="F2" s="248"/>
      <c r="G2" s="248"/>
      <c r="H2" s="248"/>
      <c r="I2" s="248"/>
      <c r="J2" s="248"/>
      <c r="K2" s="248"/>
      <c r="L2" s="248"/>
      <c r="M2" s="248"/>
      <c r="N2" s="248"/>
      <c r="O2" s="248"/>
      <c r="P2" s="248"/>
      <c r="Q2" s="248"/>
      <c r="R2" s="248"/>
      <c r="S2" s="248"/>
    </row>
    <row r="3" spans="1:22" ht="14.45" customHeight="1">
      <c r="A3" s="248"/>
      <c r="B3" s="544" t="s">
        <v>18</v>
      </c>
      <c r="C3" s="544"/>
      <c r="D3" s="544"/>
      <c r="E3" s="544"/>
      <c r="F3" s="544"/>
      <c r="G3" s="544"/>
      <c r="H3" s="544"/>
      <c r="I3" s="544"/>
      <c r="J3" s="544"/>
      <c r="K3" s="544"/>
      <c r="L3" s="544"/>
      <c r="M3" s="544"/>
      <c r="N3" s="544"/>
      <c r="O3" s="544"/>
      <c r="P3" s="544"/>
      <c r="Q3" s="544"/>
      <c r="R3" s="544"/>
      <c r="S3" s="544"/>
      <c r="T3" s="544"/>
      <c r="U3" s="544"/>
      <c r="V3" s="544"/>
    </row>
    <row r="4" spans="1:22">
      <c r="A4" s="26" t="s">
        <v>19</v>
      </c>
      <c r="B4" s="425" t="s">
        <v>435</v>
      </c>
      <c r="C4" s="425" t="s">
        <v>436</v>
      </c>
      <c r="D4" s="425" t="s">
        <v>437</v>
      </c>
      <c r="E4" s="425" t="s">
        <v>438</v>
      </c>
      <c r="F4" s="425" t="s">
        <v>439</v>
      </c>
      <c r="G4" s="425" t="s">
        <v>440</v>
      </c>
      <c r="H4" s="425" t="s">
        <v>441</v>
      </c>
      <c r="I4" s="425" t="s">
        <v>442</v>
      </c>
      <c r="J4" s="425" t="s">
        <v>443</v>
      </c>
      <c r="K4" s="425" t="s">
        <v>444</v>
      </c>
      <c r="L4" s="425" t="s">
        <v>445</v>
      </c>
      <c r="M4" s="425" t="s">
        <v>446</v>
      </c>
      <c r="N4" s="425" t="s">
        <v>447</v>
      </c>
      <c r="O4" s="425" t="s">
        <v>448</v>
      </c>
      <c r="P4" s="425" t="s">
        <v>449</v>
      </c>
      <c r="Q4" s="425" t="s">
        <v>450</v>
      </c>
      <c r="R4" s="425" t="s">
        <v>451</v>
      </c>
      <c r="S4" s="425" t="s">
        <v>452</v>
      </c>
      <c r="T4" s="425" t="s">
        <v>453</v>
      </c>
      <c r="U4" s="425" t="s">
        <v>454</v>
      </c>
      <c r="V4" s="425" t="s">
        <v>476</v>
      </c>
    </row>
    <row r="5" spans="1:22" s="317" customFormat="1">
      <c r="A5" s="12">
        <v>1992</v>
      </c>
      <c r="B5" s="425"/>
      <c r="C5" s="425"/>
      <c r="D5" s="425"/>
      <c r="E5" s="425"/>
      <c r="F5" s="425"/>
      <c r="G5" s="425"/>
      <c r="H5" s="425"/>
      <c r="I5" s="425"/>
      <c r="J5" s="425"/>
      <c r="K5" s="425"/>
      <c r="L5" s="425"/>
      <c r="M5" s="425"/>
      <c r="N5" s="425"/>
      <c r="O5" s="425"/>
      <c r="P5" s="425"/>
      <c r="Q5" s="408" t="s">
        <v>36</v>
      </c>
      <c r="R5" s="408">
        <v>1.0009999999999999</v>
      </c>
      <c r="S5" s="408">
        <v>1.002</v>
      </c>
      <c r="T5" s="408">
        <v>1.002</v>
      </c>
      <c r="U5" s="408">
        <v>1.002</v>
      </c>
      <c r="V5" s="408">
        <v>1.012</v>
      </c>
    </row>
    <row r="6" spans="1:22" s="317" customFormat="1">
      <c r="A6" s="12">
        <v>1993</v>
      </c>
      <c r="B6" s="425"/>
      <c r="C6" s="425"/>
      <c r="D6" s="425"/>
      <c r="E6" s="425"/>
      <c r="F6" s="425"/>
      <c r="G6" s="425"/>
      <c r="H6" s="425"/>
      <c r="I6" s="425"/>
      <c r="J6" s="425"/>
      <c r="K6" s="425"/>
      <c r="L6" s="425"/>
      <c r="M6" s="425"/>
      <c r="N6" s="425"/>
      <c r="O6" s="425"/>
      <c r="P6" s="425"/>
      <c r="Q6" s="408">
        <v>1.002</v>
      </c>
      <c r="R6" s="408">
        <v>1.002</v>
      </c>
      <c r="S6" s="408">
        <v>1.0029999999999999</v>
      </c>
      <c r="T6" s="408">
        <v>1.002</v>
      </c>
      <c r="U6" s="408">
        <v>1.002</v>
      </c>
      <c r="V6" s="408">
        <v>1.0129999999999999</v>
      </c>
    </row>
    <row r="7" spans="1:22">
      <c r="A7" s="12">
        <v>1994</v>
      </c>
      <c r="B7" s="408" t="s">
        <v>36</v>
      </c>
      <c r="C7" s="408" t="s">
        <v>36</v>
      </c>
      <c r="D7" s="408" t="s">
        <v>36</v>
      </c>
      <c r="E7" s="408" t="s">
        <v>36</v>
      </c>
      <c r="F7" s="408" t="s">
        <v>36</v>
      </c>
      <c r="G7" s="408" t="s">
        <v>36</v>
      </c>
      <c r="H7" s="408" t="s">
        <v>36</v>
      </c>
      <c r="I7" s="408" t="s">
        <v>36</v>
      </c>
      <c r="J7" s="408" t="s">
        <v>36</v>
      </c>
      <c r="K7" s="408" t="s">
        <v>36</v>
      </c>
      <c r="L7" s="408" t="s">
        <v>36</v>
      </c>
      <c r="M7" s="408" t="s">
        <v>36</v>
      </c>
      <c r="N7" s="408" t="s">
        <v>36</v>
      </c>
      <c r="O7" s="408" t="s">
        <v>36</v>
      </c>
      <c r="P7" s="408">
        <v>1.0029999999999999</v>
      </c>
      <c r="Q7" s="408">
        <v>1.0029999999999999</v>
      </c>
      <c r="R7" s="408">
        <v>1.004</v>
      </c>
      <c r="S7" s="408">
        <v>1.002</v>
      </c>
      <c r="T7" s="408">
        <v>1.0029999999999999</v>
      </c>
      <c r="U7" s="408">
        <v>1.0029999999999999</v>
      </c>
      <c r="V7" s="408">
        <v>1.0169999999999999</v>
      </c>
    </row>
    <row r="8" spans="1:22">
      <c r="A8" s="12">
        <v>1995</v>
      </c>
      <c r="B8" s="408" t="s">
        <v>36</v>
      </c>
      <c r="C8" s="408" t="s">
        <v>36</v>
      </c>
      <c r="D8" s="408" t="s">
        <v>36</v>
      </c>
      <c r="E8" s="408" t="s">
        <v>36</v>
      </c>
      <c r="F8" s="408" t="s">
        <v>36</v>
      </c>
      <c r="G8" s="408" t="s">
        <v>36</v>
      </c>
      <c r="H8" s="408" t="s">
        <v>36</v>
      </c>
      <c r="I8" s="408" t="s">
        <v>36</v>
      </c>
      <c r="J8" s="408" t="s">
        <v>36</v>
      </c>
      <c r="K8" s="408" t="s">
        <v>36</v>
      </c>
      <c r="L8" s="408" t="s">
        <v>36</v>
      </c>
      <c r="M8" s="408" t="s">
        <v>36</v>
      </c>
      <c r="N8" s="408" t="s">
        <v>36</v>
      </c>
      <c r="O8" s="408">
        <v>1.006</v>
      </c>
      <c r="P8" s="408">
        <v>1.004</v>
      </c>
      <c r="Q8" s="408">
        <v>1.004</v>
      </c>
      <c r="R8" s="408">
        <v>1.0049999999999999</v>
      </c>
      <c r="S8" s="408">
        <v>1.004</v>
      </c>
      <c r="T8" s="408">
        <v>1.0029999999999999</v>
      </c>
      <c r="U8" s="408">
        <v>1.002</v>
      </c>
      <c r="V8" s="408">
        <v>1.022</v>
      </c>
    </row>
    <row r="9" spans="1:22">
      <c r="A9" s="12">
        <v>1996</v>
      </c>
      <c r="B9" s="408" t="s">
        <v>36</v>
      </c>
      <c r="C9" s="408" t="s">
        <v>36</v>
      </c>
      <c r="D9" s="408" t="s">
        <v>36</v>
      </c>
      <c r="E9" s="408" t="s">
        <v>36</v>
      </c>
      <c r="F9" s="408" t="s">
        <v>36</v>
      </c>
      <c r="G9" s="408" t="s">
        <v>36</v>
      </c>
      <c r="H9" s="408" t="s">
        <v>36</v>
      </c>
      <c r="I9" s="408" t="s">
        <v>36</v>
      </c>
      <c r="J9" s="408" t="s">
        <v>36</v>
      </c>
      <c r="K9" s="408" t="s">
        <v>36</v>
      </c>
      <c r="L9" s="408" t="s">
        <v>36</v>
      </c>
      <c r="M9" s="408" t="s">
        <v>36</v>
      </c>
      <c r="N9" s="408">
        <v>1.0069999999999999</v>
      </c>
      <c r="O9" s="408">
        <v>1.004</v>
      </c>
      <c r="P9" s="408">
        <v>1.0049999999999999</v>
      </c>
      <c r="Q9" s="408">
        <v>1.004</v>
      </c>
      <c r="R9" s="408">
        <v>1.0049999999999999</v>
      </c>
      <c r="S9" s="408">
        <v>1.004</v>
      </c>
      <c r="T9" s="408">
        <v>1.0029999999999999</v>
      </c>
      <c r="U9" s="408">
        <v>1.0029999999999999</v>
      </c>
      <c r="V9" s="408">
        <v>1.0209999999999999</v>
      </c>
    </row>
    <row r="10" spans="1:22">
      <c r="A10" s="12">
        <v>1997</v>
      </c>
      <c r="B10" s="408" t="s">
        <v>36</v>
      </c>
      <c r="C10" s="408" t="s">
        <v>36</v>
      </c>
      <c r="D10" s="408" t="s">
        <v>36</v>
      </c>
      <c r="E10" s="408" t="s">
        <v>36</v>
      </c>
      <c r="F10" s="408" t="s">
        <v>36</v>
      </c>
      <c r="G10" s="408" t="s">
        <v>36</v>
      </c>
      <c r="H10" s="408" t="s">
        <v>36</v>
      </c>
      <c r="I10" s="408" t="s">
        <v>36</v>
      </c>
      <c r="J10" s="408" t="s">
        <v>36</v>
      </c>
      <c r="K10" s="408" t="s">
        <v>36</v>
      </c>
      <c r="L10" s="408" t="s">
        <v>36</v>
      </c>
      <c r="M10" s="408">
        <v>1.0069999999999999</v>
      </c>
      <c r="N10" s="408">
        <v>1.0069999999999999</v>
      </c>
      <c r="O10" s="408">
        <v>1.006</v>
      </c>
      <c r="P10" s="408">
        <v>1.0049999999999999</v>
      </c>
      <c r="Q10" s="408">
        <v>1.0049999999999999</v>
      </c>
      <c r="R10" s="408">
        <v>1.004</v>
      </c>
      <c r="S10" s="408">
        <v>1.0029999999999999</v>
      </c>
      <c r="T10" s="408">
        <v>1.002</v>
      </c>
      <c r="U10" s="408">
        <v>1.002</v>
      </c>
      <c r="V10" s="408">
        <v>1.02</v>
      </c>
    </row>
    <row r="11" spans="1:22">
      <c r="A11" s="12">
        <v>1998</v>
      </c>
      <c r="B11" s="408" t="s">
        <v>36</v>
      </c>
      <c r="C11" s="408" t="s">
        <v>36</v>
      </c>
      <c r="D11" s="408" t="s">
        <v>36</v>
      </c>
      <c r="E11" s="408" t="s">
        <v>36</v>
      </c>
      <c r="F11" s="408" t="s">
        <v>36</v>
      </c>
      <c r="G11" s="408" t="s">
        <v>36</v>
      </c>
      <c r="H11" s="408" t="s">
        <v>36</v>
      </c>
      <c r="I11" s="408" t="s">
        <v>36</v>
      </c>
      <c r="J11" s="408" t="s">
        <v>36</v>
      </c>
      <c r="K11" s="408" t="s">
        <v>36</v>
      </c>
      <c r="L11" s="408">
        <v>1.0089999999999999</v>
      </c>
      <c r="M11" s="408">
        <v>1.0089999999999999</v>
      </c>
      <c r="N11" s="408">
        <v>1.008</v>
      </c>
      <c r="O11" s="408">
        <v>1.0069999999999999</v>
      </c>
      <c r="P11" s="408">
        <v>1.006</v>
      </c>
      <c r="Q11" s="408">
        <v>1.006</v>
      </c>
      <c r="R11" s="408">
        <v>1.0049999999999999</v>
      </c>
      <c r="S11" s="408">
        <v>1.004</v>
      </c>
      <c r="T11" s="408">
        <v>1.0029999999999999</v>
      </c>
      <c r="U11" s="408">
        <v>1.0029999999999999</v>
      </c>
      <c r="V11" s="408">
        <v>1.0189999999999999</v>
      </c>
    </row>
    <row r="12" spans="1:22">
      <c r="A12" s="12">
        <v>1999</v>
      </c>
      <c r="B12" s="408" t="s">
        <v>36</v>
      </c>
      <c r="C12" s="408" t="s">
        <v>36</v>
      </c>
      <c r="D12" s="408" t="s">
        <v>36</v>
      </c>
      <c r="E12" s="408" t="s">
        <v>36</v>
      </c>
      <c r="F12" s="408" t="s">
        <v>36</v>
      </c>
      <c r="G12" s="408" t="s">
        <v>36</v>
      </c>
      <c r="H12" s="408" t="s">
        <v>36</v>
      </c>
      <c r="I12" s="408" t="s">
        <v>36</v>
      </c>
      <c r="J12" s="408" t="s">
        <v>36</v>
      </c>
      <c r="K12" s="408">
        <v>1.014</v>
      </c>
      <c r="L12" s="408">
        <v>1.01</v>
      </c>
      <c r="M12" s="408">
        <v>1.0089999999999999</v>
      </c>
      <c r="N12" s="408">
        <v>1.008</v>
      </c>
      <c r="O12" s="408">
        <v>1.006</v>
      </c>
      <c r="P12" s="408">
        <v>1.006</v>
      </c>
      <c r="Q12" s="408">
        <v>1.0049999999999999</v>
      </c>
      <c r="R12" s="408">
        <v>1.004</v>
      </c>
      <c r="S12" s="408">
        <v>1.0029999999999999</v>
      </c>
      <c r="T12" s="408">
        <v>1.0029999999999999</v>
      </c>
      <c r="U12" s="408" t="s">
        <v>36</v>
      </c>
      <c r="V12" s="408" t="s">
        <v>36</v>
      </c>
    </row>
    <row r="13" spans="1:22">
      <c r="A13" s="12">
        <v>2000</v>
      </c>
      <c r="B13" s="408" t="s">
        <v>36</v>
      </c>
      <c r="C13" s="408" t="s">
        <v>36</v>
      </c>
      <c r="D13" s="408" t="s">
        <v>36</v>
      </c>
      <c r="E13" s="408" t="s">
        <v>36</v>
      </c>
      <c r="F13" s="408" t="s">
        <v>36</v>
      </c>
      <c r="G13" s="408" t="s">
        <v>36</v>
      </c>
      <c r="H13" s="408" t="s">
        <v>36</v>
      </c>
      <c r="I13" s="408" t="s">
        <v>36</v>
      </c>
      <c r="J13" s="408">
        <v>1.0149999999999999</v>
      </c>
      <c r="K13" s="408">
        <v>1.012</v>
      </c>
      <c r="L13" s="408">
        <v>1.01</v>
      </c>
      <c r="M13" s="408">
        <v>1.0089999999999999</v>
      </c>
      <c r="N13" s="408">
        <v>1.0069999999999999</v>
      </c>
      <c r="O13" s="408">
        <v>1.0069999999999999</v>
      </c>
      <c r="P13" s="408">
        <v>1.004</v>
      </c>
      <c r="Q13" s="408">
        <v>1.004</v>
      </c>
      <c r="R13" s="408">
        <v>1.004</v>
      </c>
      <c r="S13" s="408">
        <v>1.004</v>
      </c>
      <c r="T13" s="408" t="s">
        <v>36</v>
      </c>
      <c r="U13" s="408" t="s">
        <v>36</v>
      </c>
      <c r="V13" s="408" t="s">
        <v>36</v>
      </c>
    </row>
    <row r="14" spans="1:22">
      <c r="A14" s="12">
        <v>2001</v>
      </c>
      <c r="B14" s="408" t="s">
        <v>36</v>
      </c>
      <c r="C14" s="408" t="s">
        <v>36</v>
      </c>
      <c r="D14" s="408" t="s">
        <v>36</v>
      </c>
      <c r="E14" s="408" t="s">
        <v>36</v>
      </c>
      <c r="F14" s="408" t="s">
        <v>36</v>
      </c>
      <c r="G14" s="408" t="s">
        <v>36</v>
      </c>
      <c r="H14" s="408" t="s">
        <v>36</v>
      </c>
      <c r="I14" s="408">
        <v>1.022</v>
      </c>
      <c r="J14" s="408">
        <v>1.016</v>
      </c>
      <c r="K14" s="408">
        <v>1.014</v>
      </c>
      <c r="L14" s="408">
        <v>1.0109999999999999</v>
      </c>
      <c r="M14" s="408">
        <v>1.0109999999999999</v>
      </c>
      <c r="N14" s="408">
        <v>1.008</v>
      </c>
      <c r="O14" s="408">
        <v>1.0069999999999999</v>
      </c>
      <c r="P14" s="408">
        <v>1.006</v>
      </c>
      <c r="Q14" s="408">
        <v>1.0049999999999999</v>
      </c>
      <c r="R14" s="408">
        <v>1.0049999999999999</v>
      </c>
      <c r="S14" s="408" t="s">
        <v>36</v>
      </c>
      <c r="T14" s="408" t="s">
        <v>36</v>
      </c>
      <c r="U14" s="408" t="s">
        <v>36</v>
      </c>
      <c r="V14" s="408" t="s">
        <v>36</v>
      </c>
    </row>
    <row r="15" spans="1:22">
      <c r="A15" s="12">
        <v>2002</v>
      </c>
      <c r="B15" s="408" t="s">
        <v>36</v>
      </c>
      <c r="C15" s="408" t="s">
        <v>36</v>
      </c>
      <c r="D15" s="408" t="s">
        <v>36</v>
      </c>
      <c r="E15" s="408" t="s">
        <v>36</v>
      </c>
      <c r="F15" s="408" t="s">
        <v>36</v>
      </c>
      <c r="G15" s="408" t="s">
        <v>36</v>
      </c>
      <c r="H15" s="408">
        <v>1.028</v>
      </c>
      <c r="I15" s="408">
        <v>1.0189999999999999</v>
      </c>
      <c r="J15" s="408">
        <v>1.018</v>
      </c>
      <c r="K15" s="408">
        <v>1.014</v>
      </c>
      <c r="L15" s="408">
        <v>1.012</v>
      </c>
      <c r="M15" s="408">
        <v>1.0089999999999999</v>
      </c>
      <c r="N15" s="408">
        <v>1.0069999999999999</v>
      </c>
      <c r="O15" s="408">
        <v>1.006</v>
      </c>
      <c r="P15" s="408">
        <v>1.0049999999999999</v>
      </c>
      <c r="Q15" s="408">
        <v>1.0049999999999999</v>
      </c>
      <c r="R15" s="408" t="s">
        <v>36</v>
      </c>
      <c r="S15" s="408" t="s">
        <v>36</v>
      </c>
      <c r="T15" s="408" t="s">
        <v>36</v>
      </c>
      <c r="U15" s="408" t="s">
        <v>36</v>
      </c>
      <c r="V15" s="408" t="s">
        <v>36</v>
      </c>
    </row>
    <row r="16" spans="1:22">
      <c r="A16" s="12">
        <v>2003</v>
      </c>
      <c r="B16" s="408" t="s">
        <v>36</v>
      </c>
      <c r="C16" s="408" t="s">
        <v>36</v>
      </c>
      <c r="D16" s="408" t="s">
        <v>36</v>
      </c>
      <c r="E16" s="408" t="s">
        <v>36</v>
      </c>
      <c r="F16" s="408" t="s">
        <v>36</v>
      </c>
      <c r="G16" s="408">
        <v>1.0389999999999999</v>
      </c>
      <c r="H16" s="408">
        <v>1.0289999999999999</v>
      </c>
      <c r="I16" s="408">
        <v>1.0249999999999999</v>
      </c>
      <c r="J16" s="408">
        <v>1.022</v>
      </c>
      <c r="K16" s="408">
        <v>1.02</v>
      </c>
      <c r="L16" s="408">
        <v>1.0149999999999999</v>
      </c>
      <c r="M16" s="408">
        <v>1.01</v>
      </c>
      <c r="N16" s="408">
        <v>1.0089999999999999</v>
      </c>
      <c r="O16" s="408">
        <v>1.008</v>
      </c>
      <c r="P16" s="408">
        <v>1.0069999999999999</v>
      </c>
      <c r="Q16" s="408" t="s">
        <v>36</v>
      </c>
      <c r="R16" s="408" t="s">
        <v>36</v>
      </c>
      <c r="S16" s="408" t="s">
        <v>36</v>
      </c>
      <c r="T16" s="408" t="s">
        <v>36</v>
      </c>
      <c r="U16" s="408" t="s">
        <v>36</v>
      </c>
      <c r="V16" s="408" t="s">
        <v>36</v>
      </c>
    </row>
    <row r="17" spans="1:22">
      <c r="A17" s="12">
        <v>2004</v>
      </c>
      <c r="B17" s="408" t="s">
        <v>36</v>
      </c>
      <c r="C17" s="408" t="s">
        <v>36</v>
      </c>
      <c r="D17" s="408" t="s">
        <v>36</v>
      </c>
      <c r="E17" s="408" t="s">
        <v>36</v>
      </c>
      <c r="F17" s="408">
        <v>1.0669999999999999</v>
      </c>
      <c r="G17" s="408">
        <v>1.0449999999999999</v>
      </c>
      <c r="H17" s="408">
        <v>1.0409999999999999</v>
      </c>
      <c r="I17" s="408">
        <v>1.034</v>
      </c>
      <c r="J17" s="408">
        <v>1.026</v>
      </c>
      <c r="K17" s="408">
        <v>1.018</v>
      </c>
      <c r="L17" s="408">
        <v>1.014</v>
      </c>
      <c r="M17" s="408">
        <v>1.0109999999999999</v>
      </c>
      <c r="N17" s="408">
        <v>1.008</v>
      </c>
      <c r="O17" s="408">
        <v>1.008</v>
      </c>
      <c r="P17" s="408" t="s">
        <v>36</v>
      </c>
      <c r="Q17" s="408" t="s">
        <v>36</v>
      </c>
      <c r="R17" s="408" t="s">
        <v>36</v>
      </c>
      <c r="S17" s="408" t="s">
        <v>36</v>
      </c>
      <c r="T17" s="408" t="s">
        <v>36</v>
      </c>
      <c r="U17" s="408" t="s">
        <v>36</v>
      </c>
      <c r="V17" s="408" t="s">
        <v>36</v>
      </c>
    </row>
    <row r="18" spans="1:22">
      <c r="A18" s="12">
        <v>2005</v>
      </c>
      <c r="B18" s="408" t="s">
        <v>36</v>
      </c>
      <c r="C18" s="408" t="s">
        <v>36</v>
      </c>
      <c r="D18" s="408" t="s">
        <v>36</v>
      </c>
      <c r="E18" s="408">
        <v>1.1040000000000001</v>
      </c>
      <c r="F18" s="408">
        <v>1.073</v>
      </c>
      <c r="G18" s="408">
        <v>1.0569999999999999</v>
      </c>
      <c r="H18" s="408">
        <v>1.048</v>
      </c>
      <c r="I18" s="408">
        <v>1.0369999999999999</v>
      </c>
      <c r="J18" s="408">
        <v>1.0249999999999999</v>
      </c>
      <c r="K18" s="408">
        <v>1.0189999999999999</v>
      </c>
      <c r="L18" s="408">
        <v>1.014</v>
      </c>
      <c r="M18" s="408">
        <v>1.012</v>
      </c>
      <c r="N18" s="408">
        <v>1.0109999999999999</v>
      </c>
      <c r="O18" s="408" t="s">
        <v>36</v>
      </c>
      <c r="P18" s="408" t="s">
        <v>36</v>
      </c>
      <c r="Q18" s="408" t="s">
        <v>36</v>
      </c>
      <c r="R18" s="408" t="s">
        <v>36</v>
      </c>
      <c r="S18" s="408" t="s">
        <v>36</v>
      </c>
      <c r="T18" s="408" t="s">
        <v>36</v>
      </c>
      <c r="U18" s="408" t="s">
        <v>36</v>
      </c>
      <c r="V18" s="408" t="s">
        <v>36</v>
      </c>
    </row>
    <row r="19" spans="1:22">
      <c r="A19" s="12">
        <v>2006</v>
      </c>
      <c r="B19" s="408" t="s">
        <v>36</v>
      </c>
      <c r="C19" s="408" t="s">
        <v>36</v>
      </c>
      <c r="D19" s="408">
        <v>1.1970000000000001</v>
      </c>
      <c r="E19" s="408">
        <v>1.121</v>
      </c>
      <c r="F19" s="408">
        <v>1.085</v>
      </c>
      <c r="G19" s="408">
        <v>1.0620000000000001</v>
      </c>
      <c r="H19" s="408">
        <v>1.0449999999999999</v>
      </c>
      <c r="I19" s="408">
        <v>1.032</v>
      </c>
      <c r="J19" s="408">
        <v>1.026</v>
      </c>
      <c r="K19" s="408">
        <v>1.0169999999999999</v>
      </c>
      <c r="L19" s="408">
        <v>1.0149999999999999</v>
      </c>
      <c r="M19" s="408">
        <v>1.0109999999999999</v>
      </c>
      <c r="N19" s="408" t="s">
        <v>36</v>
      </c>
      <c r="O19" s="408" t="s">
        <v>36</v>
      </c>
      <c r="P19" s="408" t="s">
        <v>36</v>
      </c>
      <c r="Q19" s="408" t="s">
        <v>36</v>
      </c>
      <c r="R19" s="408" t="s">
        <v>36</v>
      </c>
      <c r="S19" s="408" t="s">
        <v>36</v>
      </c>
      <c r="T19" s="408" t="s">
        <v>36</v>
      </c>
      <c r="U19" s="408" t="s">
        <v>36</v>
      </c>
      <c r="V19" s="408" t="s">
        <v>36</v>
      </c>
    </row>
    <row r="20" spans="1:22">
      <c r="A20" s="12">
        <v>2007</v>
      </c>
      <c r="B20" s="408" t="s">
        <v>36</v>
      </c>
      <c r="C20" s="408">
        <v>1.4359999999999999</v>
      </c>
      <c r="D20" s="408">
        <v>1.2110000000000001</v>
      </c>
      <c r="E20" s="408">
        <v>1.127</v>
      </c>
      <c r="F20" s="408">
        <v>1.085</v>
      </c>
      <c r="G20" s="408">
        <v>1.0609999999999999</v>
      </c>
      <c r="H20" s="408">
        <v>1.042</v>
      </c>
      <c r="I20" s="408">
        <v>1.032</v>
      </c>
      <c r="J20" s="408">
        <v>1.0249999999999999</v>
      </c>
      <c r="K20" s="408">
        <v>1.0169999999999999</v>
      </c>
      <c r="L20" s="408">
        <v>1.016</v>
      </c>
      <c r="M20" s="408" t="s">
        <v>36</v>
      </c>
      <c r="N20" s="408" t="s">
        <v>36</v>
      </c>
      <c r="O20" s="408" t="s">
        <v>36</v>
      </c>
      <c r="P20" s="408" t="s">
        <v>36</v>
      </c>
      <c r="Q20" s="408" t="s">
        <v>36</v>
      </c>
      <c r="R20" s="408" t="s">
        <v>36</v>
      </c>
      <c r="S20" s="408" t="s">
        <v>36</v>
      </c>
      <c r="T20" s="408" t="s">
        <v>36</v>
      </c>
      <c r="U20" s="408" t="s">
        <v>36</v>
      </c>
      <c r="V20" s="408" t="s">
        <v>36</v>
      </c>
    </row>
    <row r="21" spans="1:22">
      <c r="A21" s="12">
        <v>2008</v>
      </c>
      <c r="B21" s="408">
        <v>2.2789999999999999</v>
      </c>
      <c r="C21" s="408">
        <v>1.468</v>
      </c>
      <c r="D21" s="408">
        <v>1.234</v>
      </c>
      <c r="E21" s="408">
        <v>1.1319999999999999</v>
      </c>
      <c r="F21" s="408">
        <v>1.083</v>
      </c>
      <c r="G21" s="408">
        <v>1.054</v>
      </c>
      <c r="H21" s="408">
        <v>1.04</v>
      </c>
      <c r="I21" s="408">
        <v>1.0249999999999999</v>
      </c>
      <c r="J21" s="408">
        <v>1.0209999999999999</v>
      </c>
      <c r="K21" s="408">
        <v>1.018</v>
      </c>
      <c r="L21" s="408" t="s">
        <v>36</v>
      </c>
      <c r="M21" s="408" t="s">
        <v>36</v>
      </c>
      <c r="N21" s="408" t="s">
        <v>36</v>
      </c>
      <c r="O21" s="408" t="s">
        <v>36</v>
      </c>
      <c r="P21" s="408" t="s">
        <v>36</v>
      </c>
      <c r="Q21" s="408" t="s">
        <v>36</v>
      </c>
      <c r="R21" s="408" t="s">
        <v>36</v>
      </c>
      <c r="S21" s="408" t="s">
        <v>36</v>
      </c>
      <c r="T21" s="408" t="s">
        <v>36</v>
      </c>
      <c r="U21" s="408" t="s">
        <v>36</v>
      </c>
      <c r="V21" s="408" t="s">
        <v>36</v>
      </c>
    </row>
    <row r="22" spans="1:22">
      <c r="A22" s="12">
        <v>2009</v>
      </c>
      <c r="B22" s="408">
        <v>2.3690000000000002</v>
      </c>
      <c r="C22" s="408">
        <v>1.4990000000000001</v>
      </c>
      <c r="D22" s="408">
        <v>1.238</v>
      </c>
      <c r="E22" s="408">
        <v>1.135</v>
      </c>
      <c r="F22" s="408">
        <v>1.0840000000000001</v>
      </c>
      <c r="G22" s="408">
        <v>1.056</v>
      </c>
      <c r="H22" s="408">
        <v>1.0389999999999999</v>
      </c>
      <c r="I22" s="408">
        <v>1.0289999999999999</v>
      </c>
      <c r="J22" s="408">
        <v>1.0229999999999999</v>
      </c>
      <c r="K22" s="408" t="s">
        <v>36</v>
      </c>
      <c r="L22" s="408" t="s">
        <v>36</v>
      </c>
      <c r="M22" s="408" t="s">
        <v>36</v>
      </c>
      <c r="N22" s="408" t="s">
        <v>36</v>
      </c>
      <c r="O22" s="408" t="s">
        <v>36</v>
      </c>
      <c r="P22" s="408" t="s">
        <v>36</v>
      </c>
      <c r="Q22" s="408" t="s">
        <v>36</v>
      </c>
      <c r="R22" s="408" t="s">
        <v>36</v>
      </c>
      <c r="S22" s="408" t="s">
        <v>36</v>
      </c>
      <c r="T22" s="408" t="s">
        <v>36</v>
      </c>
      <c r="U22" s="408" t="s">
        <v>36</v>
      </c>
      <c r="V22" s="408" t="s">
        <v>36</v>
      </c>
    </row>
    <row r="23" spans="1:22">
      <c r="A23" s="12">
        <v>2010</v>
      </c>
      <c r="B23" s="408">
        <v>2.399</v>
      </c>
      <c r="C23" s="408">
        <v>1.5049999999999999</v>
      </c>
      <c r="D23" s="408">
        <v>1.24</v>
      </c>
      <c r="E23" s="408">
        <v>1.129</v>
      </c>
      <c r="F23" s="408">
        <v>1.081</v>
      </c>
      <c r="G23" s="408">
        <v>1.0529999999999999</v>
      </c>
      <c r="H23" s="408">
        <v>1.036</v>
      </c>
      <c r="I23" s="408">
        <v>1.024</v>
      </c>
      <c r="J23" s="408" t="s">
        <v>36</v>
      </c>
      <c r="K23" s="408" t="s">
        <v>36</v>
      </c>
      <c r="L23" s="408" t="s">
        <v>36</v>
      </c>
      <c r="M23" s="408" t="s">
        <v>36</v>
      </c>
      <c r="N23" s="408" t="s">
        <v>36</v>
      </c>
      <c r="O23" s="408" t="s">
        <v>36</v>
      </c>
      <c r="P23" s="408" t="s">
        <v>36</v>
      </c>
      <c r="Q23" s="408" t="s">
        <v>36</v>
      </c>
      <c r="R23" s="408" t="s">
        <v>36</v>
      </c>
      <c r="S23" s="408" t="s">
        <v>36</v>
      </c>
      <c r="T23" s="408" t="s">
        <v>36</v>
      </c>
      <c r="U23" s="408" t="s">
        <v>36</v>
      </c>
      <c r="V23" s="408" t="s">
        <v>36</v>
      </c>
    </row>
    <row r="24" spans="1:22">
      <c r="A24" s="12">
        <v>2011</v>
      </c>
      <c r="B24" s="408">
        <v>2.4329999999999998</v>
      </c>
      <c r="C24" s="408">
        <v>1.4810000000000001</v>
      </c>
      <c r="D24" s="408">
        <v>1.2270000000000001</v>
      </c>
      <c r="E24" s="408">
        <v>1.129</v>
      </c>
      <c r="F24" s="408">
        <v>1.0760000000000001</v>
      </c>
      <c r="G24" s="408">
        <v>1.0529999999999999</v>
      </c>
      <c r="H24" s="408">
        <v>1.038</v>
      </c>
      <c r="I24" s="408" t="s">
        <v>36</v>
      </c>
      <c r="J24" s="408" t="s">
        <v>36</v>
      </c>
      <c r="K24" s="408" t="s">
        <v>36</v>
      </c>
      <c r="L24" s="408" t="s">
        <v>36</v>
      </c>
      <c r="M24" s="408" t="s">
        <v>36</v>
      </c>
      <c r="N24" s="408" t="s">
        <v>36</v>
      </c>
      <c r="O24" s="408" t="s">
        <v>36</v>
      </c>
      <c r="P24" s="408" t="s">
        <v>36</v>
      </c>
      <c r="Q24" s="408" t="s">
        <v>36</v>
      </c>
      <c r="R24" s="408" t="s">
        <v>36</v>
      </c>
      <c r="S24" s="408" t="s">
        <v>36</v>
      </c>
      <c r="T24" s="408" t="s">
        <v>36</v>
      </c>
      <c r="U24" s="408" t="s">
        <v>36</v>
      </c>
      <c r="V24" s="408" t="s">
        <v>36</v>
      </c>
    </row>
    <row r="25" spans="1:22">
      <c r="A25" s="12">
        <v>2012</v>
      </c>
      <c r="B25" s="408">
        <v>2.4239999999999999</v>
      </c>
      <c r="C25" s="408">
        <v>1.4770000000000001</v>
      </c>
      <c r="D25" s="408">
        <v>1.2190000000000001</v>
      </c>
      <c r="E25" s="408">
        <v>1.123</v>
      </c>
      <c r="F25" s="408">
        <v>1.0760000000000001</v>
      </c>
      <c r="G25" s="408">
        <v>1.0469999999999999</v>
      </c>
      <c r="H25" s="408" t="s">
        <v>36</v>
      </c>
      <c r="I25" s="408" t="s">
        <v>36</v>
      </c>
      <c r="J25" s="408" t="s">
        <v>36</v>
      </c>
      <c r="K25" s="408" t="s">
        <v>36</v>
      </c>
      <c r="L25" s="408" t="s">
        <v>36</v>
      </c>
      <c r="M25" s="408" t="s">
        <v>36</v>
      </c>
      <c r="N25" s="408" t="s">
        <v>36</v>
      </c>
      <c r="O25" s="408" t="s">
        <v>36</v>
      </c>
      <c r="P25" s="408" t="s">
        <v>36</v>
      </c>
      <c r="Q25" s="408" t="s">
        <v>36</v>
      </c>
      <c r="R25" s="408" t="s">
        <v>36</v>
      </c>
      <c r="S25" s="408" t="s">
        <v>36</v>
      </c>
      <c r="T25" s="408" t="s">
        <v>36</v>
      </c>
      <c r="U25" s="408" t="s">
        <v>36</v>
      </c>
      <c r="V25" s="408" t="s">
        <v>36</v>
      </c>
    </row>
    <row r="26" spans="1:22">
      <c r="A26" s="12">
        <v>2013</v>
      </c>
      <c r="B26" s="408">
        <v>2.3849999999999998</v>
      </c>
      <c r="C26" s="408">
        <v>1.49</v>
      </c>
      <c r="D26" s="408">
        <v>1.216</v>
      </c>
      <c r="E26" s="408">
        <v>1.111</v>
      </c>
      <c r="F26" s="408">
        <v>1.0629999999999999</v>
      </c>
      <c r="G26" s="408" t="s">
        <v>36</v>
      </c>
      <c r="H26" s="408" t="s">
        <v>36</v>
      </c>
      <c r="I26" s="408" t="s">
        <v>36</v>
      </c>
      <c r="J26" s="408" t="s">
        <v>36</v>
      </c>
      <c r="K26" s="408" t="s">
        <v>36</v>
      </c>
      <c r="L26" s="408" t="s">
        <v>36</v>
      </c>
      <c r="M26" s="408" t="s">
        <v>36</v>
      </c>
      <c r="N26" s="408" t="s">
        <v>36</v>
      </c>
      <c r="O26" s="408" t="s">
        <v>36</v>
      </c>
      <c r="P26" s="408" t="s">
        <v>36</v>
      </c>
      <c r="Q26" s="408" t="s">
        <v>36</v>
      </c>
      <c r="R26" s="408" t="s">
        <v>36</v>
      </c>
      <c r="S26" s="408" t="s">
        <v>36</v>
      </c>
      <c r="T26" s="408" t="s">
        <v>36</v>
      </c>
      <c r="U26" s="408" t="s">
        <v>36</v>
      </c>
      <c r="V26" s="408" t="s">
        <v>36</v>
      </c>
    </row>
    <row r="27" spans="1:22">
      <c r="A27" s="12">
        <v>2014</v>
      </c>
      <c r="B27" s="408">
        <v>2.4550000000000001</v>
      </c>
      <c r="C27" s="408">
        <v>1.5009999999999999</v>
      </c>
      <c r="D27" s="408">
        <v>1.2150000000000001</v>
      </c>
      <c r="E27" s="408">
        <v>1.109</v>
      </c>
      <c r="F27" s="408" t="s">
        <v>36</v>
      </c>
      <c r="G27" s="408" t="s">
        <v>36</v>
      </c>
      <c r="H27" s="408" t="s">
        <v>36</v>
      </c>
      <c r="I27" s="408" t="s">
        <v>36</v>
      </c>
      <c r="J27" s="408" t="s">
        <v>36</v>
      </c>
      <c r="K27" s="408" t="s">
        <v>36</v>
      </c>
      <c r="L27" s="408" t="s">
        <v>36</v>
      </c>
      <c r="M27" s="408" t="s">
        <v>36</v>
      </c>
      <c r="N27" s="408" t="s">
        <v>36</v>
      </c>
      <c r="O27" s="408" t="s">
        <v>36</v>
      </c>
      <c r="P27" s="408" t="s">
        <v>36</v>
      </c>
      <c r="Q27" s="408" t="s">
        <v>36</v>
      </c>
      <c r="R27" s="408" t="s">
        <v>36</v>
      </c>
      <c r="S27" s="408" t="s">
        <v>36</v>
      </c>
      <c r="T27" s="408" t="s">
        <v>36</v>
      </c>
      <c r="U27" s="408" t="s">
        <v>36</v>
      </c>
      <c r="V27" s="408" t="s">
        <v>36</v>
      </c>
    </row>
    <row r="28" spans="1:22">
      <c r="A28" s="12">
        <v>2015</v>
      </c>
      <c r="B28" s="408">
        <v>2.468</v>
      </c>
      <c r="C28" s="408">
        <v>1.476</v>
      </c>
      <c r="D28" s="408">
        <v>1.202</v>
      </c>
      <c r="E28" s="408" t="s">
        <v>36</v>
      </c>
      <c r="F28" s="408" t="s">
        <v>36</v>
      </c>
      <c r="G28" s="408" t="s">
        <v>36</v>
      </c>
      <c r="H28" s="408" t="s">
        <v>36</v>
      </c>
      <c r="I28" s="408" t="s">
        <v>36</v>
      </c>
      <c r="J28" s="408" t="s">
        <v>36</v>
      </c>
      <c r="K28" s="408" t="s">
        <v>36</v>
      </c>
      <c r="L28" s="408" t="s">
        <v>36</v>
      </c>
      <c r="M28" s="408" t="s">
        <v>36</v>
      </c>
      <c r="N28" s="408" t="s">
        <v>36</v>
      </c>
      <c r="O28" s="408" t="s">
        <v>36</v>
      </c>
      <c r="P28" s="408" t="s">
        <v>36</v>
      </c>
      <c r="Q28" s="408" t="s">
        <v>36</v>
      </c>
      <c r="R28" s="408" t="s">
        <v>36</v>
      </c>
      <c r="S28" s="408" t="s">
        <v>36</v>
      </c>
      <c r="T28" s="408" t="s">
        <v>36</v>
      </c>
      <c r="U28" s="408" t="s">
        <v>36</v>
      </c>
      <c r="V28" s="408" t="s">
        <v>36</v>
      </c>
    </row>
    <row r="29" spans="1:22">
      <c r="A29" s="12">
        <v>2016</v>
      </c>
      <c r="B29" s="408">
        <v>2.403</v>
      </c>
      <c r="C29" s="408">
        <v>1.4590000000000001</v>
      </c>
      <c r="D29" s="408" t="s">
        <v>36</v>
      </c>
      <c r="E29" s="408" t="s">
        <v>36</v>
      </c>
      <c r="F29" s="408" t="s">
        <v>36</v>
      </c>
      <c r="G29" s="408" t="s">
        <v>36</v>
      </c>
      <c r="H29" s="408" t="s">
        <v>36</v>
      </c>
      <c r="I29" s="408" t="s">
        <v>36</v>
      </c>
      <c r="J29" s="408" t="s">
        <v>36</v>
      </c>
      <c r="K29" s="408" t="s">
        <v>36</v>
      </c>
      <c r="L29" s="408" t="s">
        <v>36</v>
      </c>
      <c r="M29" s="408" t="s">
        <v>36</v>
      </c>
      <c r="N29" s="408" t="s">
        <v>36</v>
      </c>
      <c r="O29" s="408" t="s">
        <v>36</v>
      </c>
      <c r="P29" s="408" t="s">
        <v>36</v>
      </c>
      <c r="Q29" s="408" t="s">
        <v>36</v>
      </c>
      <c r="R29" s="408" t="s">
        <v>36</v>
      </c>
      <c r="S29" s="408" t="s">
        <v>36</v>
      </c>
      <c r="T29" s="408" t="s">
        <v>36</v>
      </c>
      <c r="U29" s="408" t="s">
        <v>36</v>
      </c>
      <c r="V29" s="408" t="s">
        <v>36</v>
      </c>
    </row>
    <row r="30" spans="1:22">
      <c r="A30" s="12">
        <v>2017</v>
      </c>
      <c r="B30" s="408">
        <v>2.39</v>
      </c>
      <c r="C30" s="408" t="s">
        <v>36</v>
      </c>
      <c r="D30" s="408" t="s">
        <v>36</v>
      </c>
      <c r="E30" s="408" t="s">
        <v>36</v>
      </c>
      <c r="F30" s="408" t="s">
        <v>36</v>
      </c>
      <c r="G30" s="408" t="s">
        <v>36</v>
      </c>
      <c r="H30" s="408" t="s">
        <v>36</v>
      </c>
      <c r="I30" s="408" t="s">
        <v>36</v>
      </c>
      <c r="J30" s="408" t="s">
        <v>36</v>
      </c>
      <c r="K30" s="408" t="s">
        <v>36</v>
      </c>
      <c r="L30" s="408" t="s">
        <v>36</v>
      </c>
      <c r="M30" s="408" t="s">
        <v>36</v>
      </c>
      <c r="N30" s="408" t="s">
        <v>36</v>
      </c>
      <c r="O30" s="408" t="s">
        <v>36</v>
      </c>
      <c r="P30" s="408" t="s">
        <v>36</v>
      </c>
      <c r="Q30" s="408" t="s">
        <v>36</v>
      </c>
      <c r="R30" s="408" t="s">
        <v>36</v>
      </c>
      <c r="S30" s="408" t="s">
        <v>36</v>
      </c>
      <c r="T30" s="408" t="s">
        <v>36</v>
      </c>
      <c r="U30" s="408" t="s">
        <v>36</v>
      </c>
      <c r="V30" s="408" t="s">
        <v>36</v>
      </c>
    </row>
    <row r="31" spans="1:22">
      <c r="A31" s="255"/>
      <c r="B31" s="255"/>
      <c r="C31" s="255"/>
      <c r="D31" s="255"/>
      <c r="E31" s="255"/>
      <c r="F31" s="255"/>
      <c r="G31" s="255"/>
      <c r="H31" s="255"/>
      <c r="I31" s="255"/>
      <c r="J31" s="255"/>
      <c r="K31" s="255"/>
      <c r="L31" s="255"/>
      <c r="M31" s="255"/>
      <c r="N31" s="255"/>
      <c r="O31" s="255"/>
      <c r="P31" s="255"/>
      <c r="Q31" s="21"/>
      <c r="R31" s="21"/>
      <c r="S31" s="255"/>
    </row>
    <row r="32" spans="1:22">
      <c r="A32" s="12" t="s">
        <v>20</v>
      </c>
      <c r="B32" s="23" t="str">
        <f t="shared" ref="B32:E32" si="0">ROUND(B40,3)&amp;"(c)"</f>
        <v>2.384(c)</v>
      </c>
      <c r="C32" s="23" t="str">
        <f t="shared" si="0"/>
        <v>1.434(c)</v>
      </c>
      <c r="D32" s="23" t="str">
        <f t="shared" si="0"/>
        <v>1.18(c)</v>
      </c>
      <c r="E32" s="23" t="str">
        <f t="shared" si="0"/>
        <v>1.093(c)</v>
      </c>
      <c r="F32" s="23" t="str">
        <f>ROUND(F40,3)&amp;"(c)"</f>
        <v>1.055(c)</v>
      </c>
      <c r="G32" s="13">
        <f>ROUND(G25,3)</f>
        <v>1.0469999999999999</v>
      </c>
      <c r="H32" s="13">
        <f>ROUND(H24,3)</f>
        <v>1.038</v>
      </c>
      <c r="I32" s="13">
        <f>ROUND(I23,3)</f>
        <v>1.024</v>
      </c>
      <c r="J32" s="13">
        <f>AVERAGE(J20:J22)</f>
        <v>1.0229999999999999</v>
      </c>
      <c r="K32" s="13">
        <f>AVERAGE(K19:K21)</f>
        <v>1.0173333333333332</v>
      </c>
      <c r="L32" s="13">
        <f>AVERAGE(L18:L20)</f>
        <v>1.0149999999999999</v>
      </c>
      <c r="M32" s="13">
        <f>AVERAGE(M17:M19)</f>
        <v>1.0113333333333332</v>
      </c>
      <c r="N32" s="13">
        <f>AVERAGE(N16:N18)</f>
        <v>1.0093333333333332</v>
      </c>
      <c r="O32" s="13">
        <f>AVERAGE(O15:O17)</f>
        <v>1.0073333333333334</v>
      </c>
      <c r="P32" s="13">
        <f>AVERAGE(P14:P16)</f>
        <v>1.006</v>
      </c>
      <c r="Q32" s="13">
        <f>AVERAGE(Q13:Q15)</f>
        <v>1.0046666666666666</v>
      </c>
      <c r="R32" s="13">
        <f>+AVERAGE(R12:R14)</f>
        <v>1.0043333333333333</v>
      </c>
      <c r="S32" s="13">
        <f>+AVERAGE(S11:S13)</f>
        <v>1.0036666666666665</v>
      </c>
      <c r="T32" s="13">
        <f>+AVERAGE(T10:T12)</f>
        <v>1.0026666666666666</v>
      </c>
      <c r="U32" s="13">
        <f>+AVERAGE(U9:U11)</f>
        <v>1.0026666666666666</v>
      </c>
      <c r="V32" s="23">
        <f>AVERAGE(V9:V11)</f>
        <v>1.0199999999999998</v>
      </c>
    </row>
    <row r="33" spans="1:21">
      <c r="A33" s="12" t="s">
        <v>21</v>
      </c>
      <c r="B33" s="13">
        <f>C33*B40</f>
        <v>5.9201757282693102</v>
      </c>
      <c r="C33" s="13">
        <f>D33*C40</f>
        <v>2.4834874585438129</v>
      </c>
      <c r="D33" s="13">
        <f>E33*D40</f>
        <v>1.7322142073628766</v>
      </c>
      <c r="E33" s="13">
        <f>F33*E40</f>
        <v>1.4674519791574259</v>
      </c>
      <c r="F33" s="13">
        <f>G33*F40</f>
        <v>1.3429909157605178</v>
      </c>
      <c r="G33" s="13">
        <f t="shared" ref="G33:T33" si="1">G32*H33</f>
        <v>1.2728756867582338</v>
      </c>
      <c r="H33" s="13">
        <f t="shared" si="1"/>
        <v>1.2157360905045214</v>
      </c>
      <c r="I33" s="13">
        <f t="shared" si="1"/>
        <v>1.1712293742818125</v>
      </c>
      <c r="J33" s="13">
        <f t="shared" si="1"/>
        <v>1.1437786858220824</v>
      </c>
      <c r="K33" s="13">
        <f t="shared" si="1"/>
        <v>1.1180632314976369</v>
      </c>
      <c r="L33" s="13">
        <f t="shared" si="1"/>
        <v>1.099013661367271</v>
      </c>
      <c r="M33" s="13">
        <f t="shared" si="1"/>
        <v>1.0827720801647991</v>
      </c>
      <c r="N33" s="13">
        <f t="shared" si="1"/>
        <v>1.0706381807825964</v>
      </c>
      <c r="O33" s="13">
        <f t="shared" si="1"/>
        <v>1.060737959824237</v>
      </c>
      <c r="P33" s="13">
        <f t="shared" si="1"/>
        <v>1.0530158436375614</v>
      </c>
      <c r="Q33" s="13">
        <f t="shared" si="1"/>
        <v>1.0467354310512538</v>
      </c>
      <c r="R33" s="13">
        <f t="shared" si="1"/>
        <v>1.0418733553927544</v>
      </c>
      <c r="S33" s="13">
        <f t="shared" si="1"/>
        <v>1.0373780505072232</v>
      </c>
      <c r="T33" s="13">
        <f t="shared" si="1"/>
        <v>1.0335882270081933</v>
      </c>
      <c r="U33" s="44">
        <f>U32*V32*'Exhibit 2.5.2'!B26</f>
        <v>1.030839322149129</v>
      </c>
    </row>
    <row r="34" spans="1:21">
      <c r="A34" s="255"/>
      <c r="B34" s="255"/>
      <c r="C34" s="255"/>
      <c r="D34" s="255"/>
      <c r="E34" s="255"/>
      <c r="F34" s="255"/>
      <c r="G34" s="255"/>
      <c r="H34" s="255"/>
      <c r="I34" s="255"/>
      <c r="J34" s="255"/>
      <c r="K34" s="255"/>
      <c r="L34" s="255"/>
      <c r="M34" s="255"/>
      <c r="N34" s="255"/>
      <c r="O34" s="255"/>
      <c r="P34" s="255"/>
      <c r="Q34" s="255"/>
      <c r="R34" s="255"/>
      <c r="S34" s="255"/>
    </row>
    <row r="35" spans="1:21" ht="27.75" customHeight="1">
      <c r="A35" s="9" t="s">
        <v>22</v>
      </c>
      <c r="B35" s="529" t="s">
        <v>429</v>
      </c>
      <c r="C35" s="529"/>
      <c r="D35" s="529"/>
      <c r="E35" s="529"/>
      <c r="F35" s="529"/>
      <c r="G35" s="529"/>
      <c r="H35" s="529"/>
      <c r="I35" s="529"/>
      <c r="J35" s="529"/>
      <c r="K35" s="529"/>
      <c r="L35" s="529"/>
      <c r="M35" s="529"/>
      <c r="N35" s="529"/>
      <c r="O35" s="529"/>
      <c r="P35" s="529"/>
      <c r="Q35" s="529"/>
      <c r="R35" s="529"/>
      <c r="S35" s="529"/>
    </row>
    <row r="36" spans="1:21" ht="27.75" hidden="1" customHeight="1">
      <c r="A36" s="9" t="s">
        <v>28</v>
      </c>
      <c r="B36" s="529" t="s">
        <v>426</v>
      </c>
      <c r="C36" s="529"/>
      <c r="D36" s="529"/>
      <c r="E36" s="529"/>
      <c r="F36" s="529"/>
      <c r="G36" s="529"/>
      <c r="H36" s="529"/>
      <c r="I36" s="529"/>
      <c r="J36" s="529"/>
      <c r="K36" s="529"/>
      <c r="L36" s="529"/>
      <c r="M36" s="529"/>
      <c r="N36" s="529"/>
      <c r="O36" s="529"/>
      <c r="P36" s="529"/>
      <c r="Q36" s="529"/>
      <c r="R36" s="529"/>
      <c r="S36" s="529"/>
    </row>
    <row r="37" spans="1:21" ht="15" customHeight="1">
      <c r="A37" s="9" t="s">
        <v>28</v>
      </c>
      <c r="B37" s="529" t="s">
        <v>430</v>
      </c>
      <c r="C37" s="529"/>
      <c r="D37" s="529"/>
      <c r="E37" s="529"/>
      <c r="F37" s="529"/>
      <c r="G37" s="529"/>
      <c r="H37" s="529"/>
      <c r="I37" s="529"/>
      <c r="J37" s="529"/>
      <c r="K37" s="529"/>
      <c r="L37" s="529"/>
      <c r="M37" s="529"/>
      <c r="N37" s="529"/>
      <c r="O37" s="529"/>
      <c r="P37" s="529"/>
      <c r="Q37" s="529"/>
      <c r="R37" s="529"/>
      <c r="S37" s="529"/>
    </row>
    <row r="38" spans="1:21" ht="25.5" customHeight="1">
      <c r="A38" s="9" t="s">
        <v>40</v>
      </c>
      <c r="B38" s="529" t="s">
        <v>344</v>
      </c>
      <c r="C38" s="543"/>
      <c r="D38" s="543"/>
      <c r="E38" s="543"/>
      <c r="F38" s="543"/>
      <c r="G38" s="543"/>
      <c r="H38" s="543"/>
      <c r="I38" s="543"/>
      <c r="J38" s="543"/>
      <c r="K38" s="543"/>
      <c r="L38" s="543"/>
      <c r="M38" s="543"/>
      <c r="N38" s="543"/>
      <c r="O38" s="543"/>
      <c r="P38" s="543"/>
      <c r="Q38" s="543"/>
      <c r="R38" s="543"/>
      <c r="S38" s="543"/>
    </row>
    <row r="39" spans="1:21">
      <c r="C39" s="13"/>
    </row>
    <row r="40" spans="1:21">
      <c r="A40" s="136" t="s">
        <v>533</v>
      </c>
      <c r="B40" s="13">
        <f>'Exhibits 2.5.3 - 2.5.8'!D315</f>
        <v>2.3838154317640852</v>
      </c>
      <c r="C40" s="13">
        <f>'Exhibits 2.5.3 - 2.5.8'!E315</f>
        <v>1.4337068983660368</v>
      </c>
      <c r="D40" s="13">
        <f>'Exhibits 2.5.3 - 2.5.8'!F315</f>
        <v>1.180423095246681</v>
      </c>
      <c r="E40" s="13">
        <f>'Exhibits 2.5.3 - 2.5.8'!G315</f>
        <v>1.0926745385514596</v>
      </c>
      <c r="F40" s="13">
        <f>'Exhibits 2.5.3 - 2.5.8'!H315</f>
        <v>1.0550841136583053</v>
      </c>
      <c r="G40" s="23"/>
      <c r="H40" s="23"/>
      <c r="I40" s="23"/>
      <c r="J40" s="23"/>
      <c r="K40" s="23"/>
      <c r="L40" s="23"/>
      <c r="M40" s="23"/>
      <c r="N40" s="23"/>
      <c r="O40" s="23"/>
      <c r="P40" s="23"/>
      <c r="Q40" s="23"/>
      <c r="R40" s="23"/>
      <c r="S40" s="23"/>
    </row>
    <row r="41" spans="1:21">
      <c r="C41" s="270"/>
      <c r="D41" s="270"/>
      <c r="E41" s="270"/>
      <c r="F41" s="270"/>
      <c r="G41" s="270"/>
      <c r="H41" s="270"/>
      <c r="I41" s="270"/>
      <c r="J41" s="270"/>
      <c r="K41" s="270"/>
      <c r="L41" s="270"/>
      <c r="M41" s="270"/>
      <c r="N41" s="270"/>
      <c r="O41" s="270"/>
      <c r="P41" s="270"/>
      <c r="Q41" s="270"/>
      <c r="R41" s="270"/>
      <c r="S41" s="270"/>
    </row>
  </sheetData>
  <mergeCells count="6">
    <mergeCell ref="A1:V1"/>
    <mergeCell ref="B38:S38"/>
    <mergeCell ref="B35:S35"/>
    <mergeCell ref="B36:S36"/>
    <mergeCell ref="B37:S37"/>
    <mergeCell ref="B3:V3"/>
  </mergeCells>
  <pageMargins left="0.7" right="0.7" top="0.75" bottom="0.75" header="0.3" footer="0.3"/>
  <pageSetup scale="65" fitToHeight="0" orientation="landscape"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Q32"/>
  <sheetViews>
    <sheetView workbookViewId="0">
      <selection sqref="A1:O1"/>
    </sheetView>
  </sheetViews>
  <sheetFormatPr defaultColWidth="9.140625" defaultRowHeight="12.75"/>
  <cols>
    <col min="1" max="1" width="13.5703125" style="253" bestFit="1" customWidth="1"/>
    <col min="2" max="3" width="8" style="253" customWidth="1"/>
    <col min="4" max="4" width="9.140625" style="253" customWidth="1"/>
    <col min="5" max="14" width="8" style="253" customWidth="1"/>
    <col min="15" max="15" width="14.85546875" style="253" bestFit="1" customWidth="1"/>
    <col min="16" max="16" width="10.28515625" style="60" bestFit="1" customWidth="1"/>
    <col min="17" max="16384" width="9.140625" style="253"/>
  </cols>
  <sheetData>
    <row r="1" spans="1:17" ht="12.75" customHeight="1">
      <c r="A1" s="512" t="s">
        <v>477</v>
      </c>
      <c r="B1" s="512"/>
      <c r="C1" s="512"/>
      <c r="D1" s="512"/>
      <c r="E1" s="512"/>
      <c r="F1" s="512"/>
      <c r="G1" s="512"/>
      <c r="H1" s="512"/>
      <c r="I1" s="512"/>
      <c r="J1" s="512"/>
      <c r="K1" s="512"/>
      <c r="L1" s="512"/>
      <c r="M1" s="512"/>
      <c r="N1" s="512"/>
      <c r="O1" s="512"/>
      <c r="P1" s="254"/>
      <c r="Q1" s="248"/>
    </row>
    <row r="2" spans="1:17">
      <c r="A2" s="255"/>
      <c r="B2" s="18"/>
      <c r="C2" s="18"/>
      <c r="D2" s="18"/>
      <c r="E2" s="18"/>
      <c r="F2" s="18"/>
      <c r="G2" s="18"/>
      <c r="H2" s="18"/>
      <c r="I2" s="18"/>
      <c r="J2" s="18"/>
      <c r="K2" s="18"/>
      <c r="L2" s="13"/>
      <c r="M2" s="18"/>
      <c r="N2" s="18"/>
      <c r="O2" s="18"/>
      <c r="P2" s="220"/>
      <c r="Q2" s="255"/>
    </row>
    <row r="3" spans="1:17">
      <c r="A3" s="255"/>
      <c r="B3" s="544" t="s">
        <v>18</v>
      </c>
      <c r="C3" s="544"/>
      <c r="D3" s="544"/>
      <c r="E3" s="544"/>
      <c r="F3" s="544"/>
      <c r="G3" s="544"/>
      <c r="H3" s="544"/>
      <c r="I3" s="544"/>
      <c r="J3" s="544"/>
      <c r="K3" s="544"/>
      <c r="L3" s="544"/>
      <c r="M3" s="544"/>
      <c r="N3" s="544"/>
      <c r="O3" s="544"/>
      <c r="P3" s="268"/>
      <c r="Q3" s="255"/>
    </row>
    <row r="4" spans="1:17">
      <c r="A4" s="11" t="s">
        <v>19</v>
      </c>
      <c r="B4" s="407" t="s">
        <v>455</v>
      </c>
      <c r="C4" s="407" t="s">
        <v>456</v>
      </c>
      <c r="D4" s="407" t="s">
        <v>457</v>
      </c>
      <c r="E4" s="407" t="s">
        <v>458</v>
      </c>
      <c r="F4" s="407" t="s">
        <v>459</v>
      </c>
      <c r="G4" s="407" t="s">
        <v>460</v>
      </c>
      <c r="H4" s="407" t="s">
        <v>461</v>
      </c>
      <c r="I4" s="407" t="s">
        <v>462</v>
      </c>
      <c r="J4" s="407" t="s">
        <v>463</v>
      </c>
      <c r="K4" s="407" t="s">
        <v>464</v>
      </c>
      <c r="L4" s="407" t="s">
        <v>465</v>
      </c>
      <c r="M4" s="407" t="s">
        <v>466</v>
      </c>
      <c r="N4" s="407" t="s">
        <v>467</v>
      </c>
      <c r="O4" s="407" t="s">
        <v>478</v>
      </c>
      <c r="P4" s="26"/>
      <c r="Q4" s="255"/>
    </row>
    <row r="5" spans="1:17" s="317" customFormat="1" hidden="1">
      <c r="A5" s="12">
        <v>1980</v>
      </c>
      <c r="B5" s="408" t="s">
        <v>36</v>
      </c>
      <c r="C5" s="408" t="s">
        <v>36</v>
      </c>
      <c r="D5" s="408" t="s">
        <v>36</v>
      </c>
      <c r="E5" s="408" t="s">
        <v>36</v>
      </c>
      <c r="F5" s="408" t="s">
        <v>36</v>
      </c>
      <c r="G5" s="408" t="s">
        <v>36</v>
      </c>
      <c r="H5" s="408" t="s">
        <v>36</v>
      </c>
      <c r="I5" s="408" t="s">
        <v>36</v>
      </c>
      <c r="J5" s="408" t="s">
        <v>36</v>
      </c>
      <c r="K5" s="408" t="s">
        <v>36</v>
      </c>
      <c r="L5" s="408" t="s">
        <v>36</v>
      </c>
      <c r="M5" s="408" t="s">
        <v>36</v>
      </c>
      <c r="N5" s="408" t="s">
        <v>36</v>
      </c>
      <c r="O5" s="408" t="s">
        <v>36</v>
      </c>
      <c r="P5" s="26"/>
      <c r="Q5" s="318"/>
    </row>
    <row r="6" spans="1:17" hidden="1">
      <c r="A6" s="12">
        <v>1981</v>
      </c>
      <c r="B6" s="408" t="s">
        <v>36</v>
      </c>
      <c r="C6" s="408" t="s">
        <v>36</v>
      </c>
      <c r="D6" s="408" t="s">
        <v>36</v>
      </c>
      <c r="E6" s="408" t="s">
        <v>36</v>
      </c>
      <c r="F6" s="408" t="s">
        <v>36</v>
      </c>
      <c r="G6" s="408" t="s">
        <v>36</v>
      </c>
      <c r="H6" s="408" t="s">
        <v>36</v>
      </c>
      <c r="I6" s="408">
        <v>0.999</v>
      </c>
      <c r="J6" s="408" t="s">
        <v>36</v>
      </c>
      <c r="K6" s="408" t="s">
        <v>36</v>
      </c>
      <c r="L6" s="408" t="s">
        <v>36</v>
      </c>
      <c r="M6" s="408" t="s">
        <v>36</v>
      </c>
      <c r="N6" s="408" t="s">
        <v>36</v>
      </c>
      <c r="O6" s="408" t="s">
        <v>36</v>
      </c>
      <c r="Q6" s="255"/>
    </row>
    <row r="7" spans="1:17" hidden="1">
      <c r="A7" s="12">
        <v>1982</v>
      </c>
      <c r="B7" s="408" t="s">
        <v>36</v>
      </c>
      <c r="C7" s="408" t="s">
        <v>36</v>
      </c>
      <c r="D7" s="408" t="s">
        <v>36</v>
      </c>
      <c r="E7" s="408" t="s">
        <v>36</v>
      </c>
      <c r="F7" s="408" t="s">
        <v>36</v>
      </c>
      <c r="G7" s="408" t="s">
        <v>36</v>
      </c>
      <c r="H7" s="408">
        <v>1</v>
      </c>
      <c r="I7" s="408">
        <v>1.002</v>
      </c>
      <c r="J7" s="408" t="s">
        <v>36</v>
      </c>
      <c r="K7" s="408" t="s">
        <v>36</v>
      </c>
      <c r="L7" s="408" t="s">
        <v>36</v>
      </c>
      <c r="M7" s="408" t="s">
        <v>36</v>
      </c>
      <c r="N7" s="408" t="s">
        <v>36</v>
      </c>
      <c r="O7" s="408" t="s">
        <v>36</v>
      </c>
      <c r="Q7" s="255"/>
    </row>
    <row r="8" spans="1:17">
      <c r="A8" s="12">
        <v>1983</v>
      </c>
      <c r="B8" s="408" t="s">
        <v>36</v>
      </c>
      <c r="C8" s="408" t="s">
        <v>36</v>
      </c>
      <c r="D8" s="408" t="s">
        <v>36</v>
      </c>
      <c r="E8" s="408" t="s">
        <v>36</v>
      </c>
      <c r="F8" s="408" t="s">
        <v>36</v>
      </c>
      <c r="G8" s="408">
        <v>1</v>
      </c>
      <c r="H8" s="408">
        <v>1.0009999999999999</v>
      </c>
      <c r="I8" s="408">
        <v>1.0009999999999999</v>
      </c>
      <c r="J8" s="408">
        <v>1.0009999999999999</v>
      </c>
      <c r="K8" s="408">
        <v>1.0009999999999999</v>
      </c>
      <c r="L8" s="408">
        <v>1</v>
      </c>
      <c r="M8" s="408">
        <v>1.0009999999999999</v>
      </c>
      <c r="N8" s="408">
        <v>1.0009999999999999</v>
      </c>
      <c r="O8" s="408" t="s">
        <v>36</v>
      </c>
      <c r="P8" s="23"/>
      <c r="Q8" s="255"/>
    </row>
    <row r="9" spans="1:17">
      <c r="A9" s="12">
        <v>1984</v>
      </c>
      <c r="B9" s="408" t="s">
        <v>36</v>
      </c>
      <c r="C9" s="408" t="s">
        <v>36</v>
      </c>
      <c r="D9" s="408" t="s">
        <v>36</v>
      </c>
      <c r="E9" s="408" t="s">
        <v>36</v>
      </c>
      <c r="F9" s="408">
        <v>1.0009999999999999</v>
      </c>
      <c r="G9" s="408">
        <v>1.0009999999999999</v>
      </c>
      <c r="H9" s="408">
        <v>1</v>
      </c>
      <c r="I9" s="408">
        <v>1.0009999999999999</v>
      </c>
      <c r="J9" s="408">
        <v>1.0009999999999999</v>
      </c>
      <c r="K9" s="408">
        <v>0.999</v>
      </c>
      <c r="L9" s="408">
        <v>1</v>
      </c>
      <c r="M9" s="408">
        <v>1</v>
      </c>
      <c r="N9" s="408">
        <v>1.0009999999999999</v>
      </c>
      <c r="O9" s="408" t="s">
        <v>36</v>
      </c>
      <c r="P9" s="23"/>
      <c r="Q9" s="255"/>
    </row>
    <row r="10" spans="1:17">
      <c r="A10" s="12">
        <v>1985</v>
      </c>
      <c r="B10" s="408" t="s">
        <v>36</v>
      </c>
      <c r="C10" s="408" t="s">
        <v>36</v>
      </c>
      <c r="D10" s="408" t="s">
        <v>36</v>
      </c>
      <c r="E10" s="408">
        <v>1</v>
      </c>
      <c r="F10" s="408">
        <v>1.0009999999999999</v>
      </c>
      <c r="G10" s="408">
        <v>1.0009999999999999</v>
      </c>
      <c r="H10" s="408">
        <v>1.0009999999999999</v>
      </c>
      <c r="I10" s="408">
        <v>1.0009999999999999</v>
      </c>
      <c r="J10" s="408">
        <v>1</v>
      </c>
      <c r="K10" s="408">
        <v>1</v>
      </c>
      <c r="L10" s="408">
        <v>1</v>
      </c>
      <c r="M10" s="408">
        <v>1</v>
      </c>
      <c r="N10" s="408">
        <v>1</v>
      </c>
      <c r="O10" s="408" t="s">
        <v>36</v>
      </c>
      <c r="P10" s="23"/>
      <c r="Q10" s="255"/>
    </row>
    <row r="11" spans="1:17">
      <c r="A11" s="12">
        <v>1986</v>
      </c>
      <c r="B11" s="408" t="s">
        <v>36</v>
      </c>
      <c r="C11" s="408" t="s">
        <v>36</v>
      </c>
      <c r="D11" s="408">
        <v>1.0009999999999999</v>
      </c>
      <c r="E11" s="408">
        <v>1</v>
      </c>
      <c r="F11" s="408">
        <v>1.002</v>
      </c>
      <c r="G11" s="408">
        <v>1.002</v>
      </c>
      <c r="H11" s="408">
        <v>1.0009999999999999</v>
      </c>
      <c r="I11" s="408">
        <v>1</v>
      </c>
      <c r="J11" s="408">
        <v>1</v>
      </c>
      <c r="K11" s="408">
        <v>1</v>
      </c>
      <c r="L11" s="408">
        <v>1</v>
      </c>
      <c r="M11" s="408">
        <v>1</v>
      </c>
      <c r="N11" s="408" t="s">
        <v>36</v>
      </c>
      <c r="O11" s="408" t="s">
        <v>36</v>
      </c>
      <c r="Q11" s="255"/>
    </row>
    <row r="12" spans="1:17">
      <c r="A12" s="12">
        <v>1987</v>
      </c>
      <c r="B12" s="408" t="s">
        <v>36</v>
      </c>
      <c r="C12" s="408">
        <v>1</v>
      </c>
      <c r="D12" s="408">
        <v>1</v>
      </c>
      <c r="E12" s="408">
        <v>1.002</v>
      </c>
      <c r="F12" s="408">
        <v>1.0009999999999999</v>
      </c>
      <c r="G12" s="408">
        <v>1</v>
      </c>
      <c r="H12" s="408">
        <v>1</v>
      </c>
      <c r="I12" s="408">
        <v>1.0009999999999999</v>
      </c>
      <c r="J12" s="408">
        <v>1</v>
      </c>
      <c r="K12" s="408">
        <v>1.0009999999999999</v>
      </c>
      <c r="L12" s="408">
        <v>1</v>
      </c>
      <c r="M12" s="408" t="s">
        <v>36</v>
      </c>
      <c r="N12" s="408" t="s">
        <v>36</v>
      </c>
      <c r="O12" s="408" t="s">
        <v>36</v>
      </c>
      <c r="Q12" s="255"/>
    </row>
    <row r="13" spans="1:17">
      <c r="A13" s="12">
        <v>1988</v>
      </c>
      <c r="B13" s="408">
        <v>1</v>
      </c>
      <c r="C13" s="408">
        <v>1.002</v>
      </c>
      <c r="D13" s="408">
        <v>1.002</v>
      </c>
      <c r="E13" s="408">
        <v>1.0009999999999999</v>
      </c>
      <c r="F13" s="408">
        <v>1</v>
      </c>
      <c r="G13" s="408">
        <v>1</v>
      </c>
      <c r="H13" s="408">
        <v>1</v>
      </c>
      <c r="I13" s="408">
        <v>1.0009999999999999</v>
      </c>
      <c r="J13" s="408">
        <v>1</v>
      </c>
      <c r="K13" s="408">
        <v>1</v>
      </c>
      <c r="L13" s="408" t="s">
        <v>36</v>
      </c>
      <c r="M13" s="408" t="s">
        <v>36</v>
      </c>
      <c r="N13" s="408" t="s">
        <v>36</v>
      </c>
      <c r="O13" s="408" t="s">
        <v>36</v>
      </c>
      <c r="Q13" s="255"/>
    </row>
    <row r="14" spans="1:17">
      <c r="A14" s="12">
        <v>1989</v>
      </c>
      <c r="B14" s="408">
        <v>1.0009999999999999</v>
      </c>
      <c r="C14" s="408">
        <v>1.0009999999999999</v>
      </c>
      <c r="D14" s="408">
        <v>1</v>
      </c>
      <c r="E14" s="408">
        <v>1</v>
      </c>
      <c r="F14" s="408">
        <v>1</v>
      </c>
      <c r="G14" s="408">
        <v>1.0009999999999999</v>
      </c>
      <c r="H14" s="408">
        <v>1.0009999999999999</v>
      </c>
      <c r="I14" s="408">
        <v>1</v>
      </c>
      <c r="J14" s="408">
        <v>1.0009999999999999</v>
      </c>
      <c r="K14" s="408" t="s">
        <v>36</v>
      </c>
      <c r="L14" s="408" t="s">
        <v>36</v>
      </c>
      <c r="M14" s="408" t="s">
        <v>36</v>
      </c>
      <c r="N14" s="408" t="s">
        <v>36</v>
      </c>
      <c r="O14" s="408" t="s">
        <v>36</v>
      </c>
      <c r="Q14" s="255"/>
    </row>
    <row r="15" spans="1:17">
      <c r="A15" s="12">
        <v>1990</v>
      </c>
      <c r="B15" s="408">
        <v>1.0009999999999999</v>
      </c>
      <c r="C15" s="408">
        <v>1</v>
      </c>
      <c r="D15" s="408">
        <v>1</v>
      </c>
      <c r="E15" s="408">
        <v>1</v>
      </c>
      <c r="F15" s="408">
        <v>1</v>
      </c>
      <c r="G15" s="408">
        <v>1</v>
      </c>
      <c r="H15" s="408">
        <v>1.0009999999999999</v>
      </c>
      <c r="I15" s="408">
        <v>1</v>
      </c>
      <c r="J15" s="408" t="s">
        <v>36</v>
      </c>
      <c r="K15" s="408" t="s">
        <v>36</v>
      </c>
      <c r="L15" s="408" t="s">
        <v>36</v>
      </c>
      <c r="M15" s="408" t="s">
        <v>36</v>
      </c>
      <c r="N15" s="408" t="s">
        <v>36</v>
      </c>
      <c r="O15" s="408" t="s">
        <v>36</v>
      </c>
      <c r="Q15" s="255"/>
    </row>
    <row r="16" spans="1:17">
      <c r="A16" s="12">
        <v>1991</v>
      </c>
      <c r="B16" s="408">
        <v>1</v>
      </c>
      <c r="C16" s="408">
        <v>1.0009999999999999</v>
      </c>
      <c r="D16" s="408">
        <v>1</v>
      </c>
      <c r="E16" s="408">
        <v>1</v>
      </c>
      <c r="F16" s="408">
        <v>1</v>
      </c>
      <c r="G16" s="408">
        <v>1</v>
      </c>
      <c r="H16" s="408">
        <v>1</v>
      </c>
      <c r="I16" s="408" t="s">
        <v>36</v>
      </c>
      <c r="J16" s="408" t="s">
        <v>36</v>
      </c>
      <c r="K16" s="408" t="s">
        <v>36</v>
      </c>
      <c r="L16" s="408" t="s">
        <v>36</v>
      </c>
      <c r="M16" s="408" t="s">
        <v>36</v>
      </c>
      <c r="N16" s="408" t="s">
        <v>36</v>
      </c>
      <c r="O16" s="408" t="s">
        <v>36</v>
      </c>
      <c r="Q16" s="255"/>
    </row>
    <row r="17" spans="1:17">
      <c r="A17" s="12">
        <v>1992</v>
      </c>
      <c r="B17" s="408">
        <v>1.0009999999999999</v>
      </c>
      <c r="C17" s="408">
        <v>1</v>
      </c>
      <c r="D17" s="408">
        <v>1</v>
      </c>
      <c r="E17" s="408">
        <v>1</v>
      </c>
      <c r="F17" s="408">
        <v>1</v>
      </c>
      <c r="G17" s="408">
        <v>1</v>
      </c>
      <c r="H17" s="408" t="s">
        <v>36</v>
      </c>
      <c r="I17" s="408" t="s">
        <v>36</v>
      </c>
      <c r="J17" s="408" t="s">
        <v>36</v>
      </c>
      <c r="K17" s="408" t="s">
        <v>36</v>
      </c>
      <c r="L17" s="408" t="s">
        <v>36</v>
      </c>
      <c r="M17" s="408" t="s">
        <v>36</v>
      </c>
      <c r="N17" s="408" t="s">
        <v>36</v>
      </c>
      <c r="O17" s="408" t="s">
        <v>36</v>
      </c>
      <c r="Q17" s="255"/>
    </row>
    <row r="18" spans="1:17">
      <c r="A18" s="12">
        <v>1993</v>
      </c>
      <c r="B18" s="408">
        <v>1.0009999999999999</v>
      </c>
      <c r="C18" s="408">
        <v>1</v>
      </c>
      <c r="D18" s="408">
        <v>1</v>
      </c>
      <c r="E18" s="408">
        <v>1</v>
      </c>
      <c r="F18" s="408">
        <v>1</v>
      </c>
      <c r="G18" s="408" t="s">
        <v>36</v>
      </c>
      <c r="H18" s="408" t="s">
        <v>36</v>
      </c>
      <c r="I18" s="408" t="s">
        <v>36</v>
      </c>
      <c r="J18" s="408" t="s">
        <v>36</v>
      </c>
      <c r="K18" s="408" t="s">
        <v>36</v>
      </c>
      <c r="L18" s="408" t="s">
        <v>36</v>
      </c>
      <c r="M18" s="408" t="s">
        <v>36</v>
      </c>
      <c r="N18" s="408" t="s">
        <v>36</v>
      </c>
      <c r="O18" s="408" t="s">
        <v>36</v>
      </c>
      <c r="Q18" s="255"/>
    </row>
    <row r="19" spans="1:17">
      <c r="A19" s="12">
        <v>1994</v>
      </c>
      <c r="B19" s="408">
        <v>1.0009999999999999</v>
      </c>
      <c r="C19" s="408">
        <v>1.0009999999999999</v>
      </c>
      <c r="D19" s="408">
        <v>1</v>
      </c>
      <c r="E19" s="408">
        <v>1.0009999999999999</v>
      </c>
      <c r="F19" s="408" t="s">
        <v>36</v>
      </c>
      <c r="G19" s="408" t="s">
        <v>36</v>
      </c>
      <c r="H19" s="408" t="s">
        <v>36</v>
      </c>
      <c r="I19" s="408" t="s">
        <v>36</v>
      </c>
      <c r="J19" s="408" t="s">
        <v>36</v>
      </c>
      <c r="K19" s="408" t="s">
        <v>36</v>
      </c>
      <c r="L19" s="408" t="s">
        <v>36</v>
      </c>
      <c r="M19" s="408" t="s">
        <v>36</v>
      </c>
      <c r="N19" s="408" t="s">
        <v>36</v>
      </c>
      <c r="O19" s="408" t="s">
        <v>36</v>
      </c>
      <c r="Q19" s="255"/>
    </row>
    <row r="20" spans="1:17">
      <c r="A20" s="12">
        <v>1995</v>
      </c>
      <c r="B20" s="408">
        <v>1</v>
      </c>
      <c r="C20" s="408">
        <v>1.0009999999999999</v>
      </c>
      <c r="D20" s="408">
        <v>0.999</v>
      </c>
      <c r="E20" s="408" t="s">
        <v>36</v>
      </c>
      <c r="F20" s="408" t="s">
        <v>36</v>
      </c>
      <c r="G20" s="408" t="s">
        <v>36</v>
      </c>
      <c r="H20" s="408" t="s">
        <v>36</v>
      </c>
      <c r="I20" s="408" t="s">
        <v>36</v>
      </c>
      <c r="J20" s="408" t="s">
        <v>36</v>
      </c>
      <c r="K20" s="408" t="s">
        <v>36</v>
      </c>
      <c r="L20" s="408" t="s">
        <v>36</v>
      </c>
      <c r="M20" s="408" t="s">
        <v>36</v>
      </c>
      <c r="N20" s="408" t="s">
        <v>36</v>
      </c>
      <c r="O20" s="408" t="s">
        <v>36</v>
      </c>
      <c r="Q20" s="255"/>
    </row>
    <row r="21" spans="1:17">
      <c r="A21" s="12">
        <v>1996</v>
      </c>
      <c r="B21" s="408">
        <v>1.0009999999999999</v>
      </c>
      <c r="C21" s="408">
        <v>1</v>
      </c>
      <c r="D21" s="408" t="s">
        <v>36</v>
      </c>
      <c r="E21" s="408" t="s">
        <v>36</v>
      </c>
      <c r="F21" s="408" t="s">
        <v>36</v>
      </c>
      <c r="G21" s="408" t="s">
        <v>36</v>
      </c>
      <c r="H21" s="408" t="s">
        <v>36</v>
      </c>
      <c r="I21" s="408" t="s">
        <v>36</v>
      </c>
      <c r="J21" s="408" t="s">
        <v>36</v>
      </c>
      <c r="K21" s="408" t="s">
        <v>36</v>
      </c>
      <c r="L21" s="408" t="s">
        <v>36</v>
      </c>
      <c r="M21" s="408" t="s">
        <v>36</v>
      </c>
      <c r="N21" s="408" t="s">
        <v>36</v>
      </c>
      <c r="O21" s="408" t="s">
        <v>36</v>
      </c>
      <c r="Q21" s="255"/>
    </row>
    <row r="22" spans="1:17">
      <c r="A22" s="12">
        <v>1997</v>
      </c>
      <c r="B22" s="408">
        <v>1.0009999999999999</v>
      </c>
      <c r="C22" s="408" t="s">
        <v>36</v>
      </c>
      <c r="D22" s="408" t="s">
        <v>36</v>
      </c>
      <c r="E22" s="408" t="s">
        <v>36</v>
      </c>
      <c r="F22" s="408" t="s">
        <v>36</v>
      </c>
      <c r="G22" s="408" t="s">
        <v>36</v>
      </c>
      <c r="H22" s="408" t="s">
        <v>36</v>
      </c>
      <c r="I22" s="408" t="s">
        <v>36</v>
      </c>
      <c r="J22" s="408" t="s">
        <v>36</v>
      </c>
      <c r="K22" s="408" t="s">
        <v>36</v>
      </c>
      <c r="L22" s="408" t="s">
        <v>36</v>
      </c>
      <c r="M22" s="408" t="s">
        <v>36</v>
      </c>
      <c r="N22" s="408" t="s">
        <v>36</v>
      </c>
      <c r="O22" s="408" t="s">
        <v>36</v>
      </c>
      <c r="Q22" s="255"/>
    </row>
    <row r="23" spans="1:17">
      <c r="A23" s="12"/>
      <c r="B23" s="13"/>
      <c r="C23" s="13"/>
      <c r="D23" s="13"/>
      <c r="E23" s="13"/>
      <c r="F23" s="13"/>
      <c r="G23" s="13"/>
      <c r="H23" s="13"/>
      <c r="I23" s="13"/>
      <c r="J23" s="13"/>
      <c r="K23" s="13"/>
      <c r="L23" s="13"/>
      <c r="M23" s="13"/>
      <c r="N23" s="13"/>
      <c r="O23" s="13"/>
      <c r="Q23" s="255"/>
    </row>
    <row r="24" spans="1:17">
      <c r="A24" s="255"/>
      <c r="B24" s="13"/>
      <c r="C24" s="13"/>
      <c r="D24" s="13"/>
      <c r="E24" s="13"/>
      <c r="F24" s="13"/>
      <c r="G24" s="13"/>
      <c r="H24" s="13"/>
      <c r="I24" s="13"/>
      <c r="J24" s="13"/>
      <c r="K24" s="13"/>
      <c r="L24" s="13"/>
      <c r="M24" s="13"/>
      <c r="N24" s="13"/>
      <c r="O24" s="13"/>
      <c r="Q24" s="255"/>
    </row>
    <row r="25" spans="1:17">
      <c r="A25" s="12" t="s">
        <v>20</v>
      </c>
      <c r="B25" s="13">
        <f>AVERAGE(B17:B22)</f>
        <v>1.0008333333333332</v>
      </c>
      <c r="C25" s="13">
        <f>AVERAGE(C16:C21)</f>
        <v>1.0004999999999999</v>
      </c>
      <c r="D25" s="13">
        <f>AVERAGE(D15:D20)</f>
        <v>0.99983333333333324</v>
      </c>
      <c r="E25" s="13">
        <f>AVERAGE(E14:E19)</f>
        <v>1.0001666666666666</v>
      </c>
      <c r="F25" s="13">
        <f>AVERAGE(F13:F18)</f>
        <v>1</v>
      </c>
      <c r="G25" s="13">
        <f>AVERAGE(G12:G17)</f>
        <v>1.0001666666666666</v>
      </c>
      <c r="H25" s="13">
        <f>AVERAGE(H11:H16)</f>
        <v>1.0004999999999999</v>
      </c>
      <c r="I25" s="13">
        <f>AVERAGE(I10:I15)</f>
        <v>1.0004999999999999</v>
      </c>
      <c r="J25" s="13">
        <f>AVERAGE(J9:J14)</f>
        <v>1.0003333333333331</v>
      </c>
      <c r="K25" s="13">
        <f>AVERAGE(K8:K13)</f>
        <v>1.0001666666666666</v>
      </c>
      <c r="L25" s="13">
        <f>AVERAGE(L8:L12)</f>
        <v>1</v>
      </c>
      <c r="M25" s="13">
        <f>AVERAGE(M8:M11)</f>
        <v>1.0002499999999999</v>
      </c>
      <c r="N25" s="13">
        <f>AVERAGE(N8:N10)</f>
        <v>1.0006666666666666</v>
      </c>
      <c r="O25" s="13"/>
      <c r="P25" s="23"/>
      <c r="Q25" s="255"/>
    </row>
    <row r="26" spans="1:17">
      <c r="A26" s="12" t="s">
        <v>24</v>
      </c>
      <c r="B26" s="13">
        <f t="shared" ref="B26:K26" si="0">+B25*C26</f>
        <v>1.0079389492227877</v>
      </c>
      <c r="C26" s="13">
        <f t="shared" si="0"/>
        <v>1.0070996994732269</v>
      </c>
      <c r="D26" s="13">
        <f t="shared" si="0"/>
        <v>1.0065964012725905</v>
      </c>
      <c r="E26" s="13">
        <f t="shared" si="0"/>
        <v>1.0067641953051414</v>
      </c>
      <c r="F26" s="13">
        <f t="shared" si="0"/>
        <v>1.0065964292336025</v>
      </c>
      <c r="G26" s="13">
        <f t="shared" si="0"/>
        <v>1.0065964292336025</v>
      </c>
      <c r="H26" s="13">
        <f t="shared" si="0"/>
        <v>1.0064286911184162</v>
      </c>
      <c r="I26" s="13">
        <f t="shared" si="0"/>
        <v>1.0059257282542891</v>
      </c>
      <c r="J26" s="13">
        <f t="shared" si="0"/>
        <v>1.0054230167459162</v>
      </c>
      <c r="K26" s="13">
        <f t="shared" si="0"/>
        <v>1.0050879874167775</v>
      </c>
      <c r="L26" s="13">
        <f>+L25*M26</f>
        <v>1.0049205006666664</v>
      </c>
      <c r="M26" s="13">
        <f>+M25*N26</f>
        <v>1.0049205006666664</v>
      </c>
      <c r="N26" s="13">
        <f>+N25*O26</f>
        <v>1.0046693333333332</v>
      </c>
      <c r="O26" s="13">
        <f>'Exhibit 2.1.2'!S27</f>
        <v>1.004</v>
      </c>
      <c r="P26" s="30"/>
      <c r="Q26" s="255"/>
    </row>
    <row r="27" spans="1:17">
      <c r="A27" s="255"/>
      <c r="B27" s="13"/>
      <c r="C27" s="13"/>
      <c r="D27" s="13"/>
      <c r="E27" s="13"/>
      <c r="F27" s="13"/>
      <c r="G27" s="13"/>
      <c r="H27" s="13"/>
      <c r="I27" s="13"/>
      <c r="J27" s="13"/>
      <c r="K27" s="13"/>
      <c r="L27" s="13"/>
      <c r="M27" s="13"/>
      <c r="N27" s="13"/>
      <c r="O27" s="13"/>
      <c r="P27" s="23"/>
      <c r="Q27" s="13"/>
    </row>
    <row r="28" spans="1:17" ht="15" customHeight="1">
      <c r="A28" s="17" t="s">
        <v>30</v>
      </c>
      <c r="B28" s="545" t="s">
        <v>425</v>
      </c>
      <c r="C28" s="545"/>
      <c r="D28" s="545"/>
      <c r="E28" s="545"/>
      <c r="F28" s="545"/>
      <c r="G28" s="545"/>
      <c r="H28" s="545"/>
      <c r="I28" s="545"/>
      <c r="J28" s="545"/>
      <c r="K28" s="545"/>
      <c r="L28" s="545"/>
      <c r="M28" s="545"/>
      <c r="N28" s="545"/>
      <c r="O28" s="545"/>
      <c r="P28" s="267"/>
      <c r="Q28" s="255"/>
    </row>
    <row r="29" spans="1:17" ht="12.75" customHeight="1">
      <c r="B29" s="545"/>
      <c r="C29" s="545"/>
      <c r="D29" s="545"/>
      <c r="E29" s="545"/>
      <c r="F29" s="545"/>
      <c r="G29" s="545"/>
      <c r="H29" s="545"/>
      <c r="I29" s="545"/>
      <c r="J29" s="545"/>
      <c r="K29" s="545"/>
      <c r="L29" s="545"/>
      <c r="M29" s="545"/>
      <c r="N29" s="545"/>
      <c r="O29" s="545"/>
      <c r="P29" s="267"/>
    </row>
    <row r="30" spans="1:17">
      <c r="A30" s="17"/>
      <c r="B30" s="230"/>
      <c r="C30" s="255"/>
      <c r="D30" s="255"/>
      <c r="E30" s="255"/>
      <c r="F30" s="255"/>
      <c r="G30" s="255"/>
      <c r="H30" s="255"/>
      <c r="I30" s="255"/>
      <c r="J30" s="255"/>
      <c r="K30" s="255"/>
      <c r="L30" s="255"/>
      <c r="M30" s="255"/>
      <c r="N30" s="255"/>
      <c r="O30" s="255"/>
      <c r="P30" s="23"/>
      <c r="Q30" s="255"/>
    </row>
    <row r="31" spans="1:17">
      <c r="A31" s="17"/>
      <c r="B31" s="337"/>
      <c r="C31" s="337"/>
      <c r="D31" s="337"/>
    </row>
    <row r="32" spans="1:17">
      <c r="B32" s="317"/>
      <c r="C32" s="317"/>
    </row>
  </sheetData>
  <mergeCells count="3">
    <mergeCell ref="B3:O3"/>
    <mergeCell ref="A1:O1"/>
    <mergeCell ref="B28:O29"/>
  </mergeCells>
  <pageMargins left="0.7" right="0.7" top="0.75" bottom="0.75" header="0.3" footer="0.3"/>
  <pageSetup scale="92" orientation="landscape"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F337"/>
  <sheetViews>
    <sheetView workbookViewId="0">
      <selection sqref="A1:I1"/>
    </sheetView>
  </sheetViews>
  <sheetFormatPr defaultRowHeight="15"/>
  <cols>
    <col min="1" max="1" width="4.42578125" customWidth="1"/>
    <col min="2" max="2" width="4.140625" customWidth="1"/>
    <col min="3" max="3" width="15.7109375" bestFit="1" customWidth="1"/>
    <col min="4" max="9" width="10" customWidth="1"/>
    <col min="10" max="10" width="8.140625" customWidth="1"/>
    <col min="11" max="32" width="9.140625" style="136"/>
  </cols>
  <sheetData>
    <row r="1" spans="1:12">
      <c r="A1" s="547" t="s">
        <v>31</v>
      </c>
      <c r="B1" s="547"/>
      <c r="C1" s="547"/>
      <c r="D1" s="547"/>
      <c r="E1" s="547"/>
      <c r="F1" s="547"/>
      <c r="G1" s="547"/>
      <c r="H1" s="547"/>
      <c r="I1" s="547"/>
      <c r="J1" s="352"/>
      <c r="L1" s="283"/>
    </row>
    <row r="2" spans="1:12">
      <c r="A2" s="547" t="s">
        <v>297</v>
      </c>
      <c r="B2" s="547"/>
      <c r="C2" s="547"/>
      <c r="D2" s="547"/>
      <c r="E2" s="547"/>
      <c r="F2" s="547"/>
      <c r="G2" s="547"/>
      <c r="H2" s="547"/>
      <c r="I2" s="547"/>
    </row>
    <row r="3" spans="1:12">
      <c r="A3" s="547" t="s">
        <v>298</v>
      </c>
      <c r="B3" s="547"/>
      <c r="C3" s="547"/>
      <c r="D3" s="547"/>
      <c r="E3" s="547"/>
      <c r="F3" s="547"/>
      <c r="G3" s="547"/>
      <c r="H3" s="547"/>
      <c r="I3" s="547"/>
    </row>
    <row r="4" spans="1:12">
      <c r="A4" s="200"/>
      <c r="B4" s="200"/>
      <c r="C4" s="200"/>
      <c r="D4" s="200"/>
      <c r="E4" s="200"/>
      <c r="F4" s="200"/>
      <c r="G4" s="200"/>
      <c r="H4" s="200"/>
    </row>
    <row r="5" spans="1:12">
      <c r="A5" s="10"/>
      <c r="B5" s="10"/>
      <c r="C5" s="10"/>
      <c r="D5" s="10"/>
      <c r="E5" s="10"/>
      <c r="F5" s="10"/>
      <c r="G5" s="10"/>
      <c r="H5" s="10"/>
    </row>
    <row r="6" spans="1:12">
      <c r="A6" s="548" t="s">
        <v>299</v>
      </c>
      <c r="B6" s="548"/>
      <c r="C6" s="548"/>
      <c r="D6" s="548"/>
      <c r="E6" s="548"/>
      <c r="F6" s="548"/>
      <c r="G6" s="548"/>
      <c r="H6" s="548"/>
      <c r="I6" s="548"/>
    </row>
    <row r="7" spans="1:12">
      <c r="A7" s="283"/>
      <c r="B7" s="283"/>
      <c r="C7" s="283"/>
      <c r="D7" s="283"/>
      <c r="E7" s="283"/>
      <c r="F7" s="283"/>
      <c r="G7" s="283"/>
      <c r="H7" s="283"/>
      <c r="I7" s="283"/>
    </row>
    <row r="8" spans="1:12">
      <c r="A8" s="283"/>
      <c r="B8" s="283"/>
      <c r="C8" s="283"/>
      <c r="D8" s="283"/>
      <c r="E8" s="283"/>
      <c r="F8" s="283"/>
      <c r="G8" s="283"/>
      <c r="H8" s="283"/>
      <c r="I8" s="283"/>
    </row>
    <row r="9" spans="1:12">
      <c r="A9" s="283"/>
      <c r="B9" s="283"/>
      <c r="C9" s="285" t="s">
        <v>218</v>
      </c>
      <c r="D9" s="546"/>
      <c r="E9" s="546"/>
      <c r="F9" s="546"/>
      <c r="G9" s="546"/>
      <c r="H9" s="546"/>
      <c r="I9" s="546"/>
    </row>
    <row r="10" spans="1:12">
      <c r="A10" s="283"/>
      <c r="B10" s="283"/>
      <c r="C10" s="38" t="s">
        <v>8</v>
      </c>
      <c r="D10" s="427">
        <v>15</v>
      </c>
      <c r="E10" s="427">
        <v>27</v>
      </c>
      <c r="F10" s="427">
        <v>39</v>
      </c>
      <c r="G10" s="427">
        <v>51</v>
      </c>
      <c r="H10" s="427">
        <v>63</v>
      </c>
      <c r="I10" s="427">
        <v>75</v>
      </c>
    </row>
    <row r="11" spans="1:12" ht="4.9000000000000004" customHeight="1">
      <c r="A11" s="283"/>
      <c r="B11" s="283"/>
      <c r="C11" s="283"/>
      <c r="D11" s="409"/>
      <c r="E11" s="409"/>
      <c r="F11" s="409"/>
      <c r="G11" s="409"/>
      <c r="H11" s="409"/>
      <c r="I11" s="409"/>
    </row>
    <row r="12" spans="1:12">
      <c r="A12" s="283"/>
      <c r="B12" s="283"/>
      <c r="C12" s="285">
        <v>2010</v>
      </c>
      <c r="D12" s="428"/>
      <c r="E12" s="428"/>
      <c r="F12" s="428"/>
      <c r="G12" s="428"/>
      <c r="H12" s="428"/>
      <c r="I12" s="428">
        <v>117260</v>
      </c>
    </row>
    <row r="13" spans="1:12">
      <c r="A13" s="283"/>
      <c r="B13" s="283"/>
      <c r="C13" s="285">
        <v>2011</v>
      </c>
      <c r="D13" s="428"/>
      <c r="E13" s="428"/>
      <c r="F13" s="428"/>
      <c r="G13" s="428"/>
      <c r="H13" s="428">
        <v>117817</v>
      </c>
      <c r="I13" s="428">
        <v>118059</v>
      </c>
    </row>
    <row r="14" spans="1:12">
      <c r="A14" s="283"/>
      <c r="B14" s="283"/>
      <c r="C14" s="285">
        <v>2012</v>
      </c>
      <c r="D14" s="428"/>
      <c r="E14" s="428"/>
      <c r="F14" s="428"/>
      <c r="G14" s="428">
        <v>123987.99999999997</v>
      </c>
      <c r="H14" s="428">
        <v>124552.99999999997</v>
      </c>
      <c r="I14" s="428">
        <v>124853.99999999999</v>
      </c>
    </row>
    <row r="15" spans="1:12">
      <c r="A15" s="283"/>
      <c r="B15" s="283"/>
      <c r="C15" s="285">
        <v>2013</v>
      </c>
      <c r="D15" s="428"/>
      <c r="E15" s="428"/>
      <c r="F15" s="428">
        <v>131398</v>
      </c>
      <c r="G15" s="428">
        <v>132372</v>
      </c>
      <c r="H15" s="428">
        <v>132916</v>
      </c>
      <c r="I15" s="428">
        <v>133098</v>
      </c>
    </row>
    <row r="16" spans="1:12">
      <c r="A16" s="283"/>
      <c r="B16" s="283"/>
      <c r="C16" s="285">
        <v>2014</v>
      </c>
      <c r="D16" s="428"/>
      <c r="E16" s="428">
        <v>135175</v>
      </c>
      <c r="F16" s="428">
        <v>137778</v>
      </c>
      <c r="G16" s="428">
        <v>138876</v>
      </c>
      <c r="H16" s="428">
        <v>139367</v>
      </c>
      <c r="I16" s="428" t="s">
        <v>36</v>
      </c>
    </row>
    <row r="17" spans="1:9">
      <c r="A17" s="283"/>
      <c r="B17" s="283"/>
      <c r="C17" s="285">
        <v>2015</v>
      </c>
      <c r="D17" s="428">
        <v>128732.99999999999</v>
      </c>
      <c r="E17" s="428">
        <v>141546</v>
      </c>
      <c r="F17" s="428">
        <v>143811</v>
      </c>
      <c r="G17" s="428">
        <v>144486</v>
      </c>
      <c r="H17" s="428" t="s">
        <v>36</v>
      </c>
      <c r="I17" s="428" t="s">
        <v>36</v>
      </c>
    </row>
    <row r="18" spans="1:9">
      <c r="A18" s="283"/>
      <c r="B18" s="283"/>
      <c r="C18" s="285">
        <v>2016</v>
      </c>
      <c r="D18" s="428">
        <v>131171</v>
      </c>
      <c r="E18" s="428">
        <v>144370</v>
      </c>
      <c r="F18" s="428">
        <v>147154</v>
      </c>
      <c r="G18" s="428" t="s">
        <v>36</v>
      </c>
      <c r="H18" s="428" t="s">
        <v>36</v>
      </c>
      <c r="I18" s="428" t="s">
        <v>36</v>
      </c>
    </row>
    <row r="19" spans="1:9">
      <c r="A19" s="283"/>
      <c r="B19" s="283"/>
      <c r="C19" s="285">
        <v>2017</v>
      </c>
      <c r="D19" s="428">
        <v>133390</v>
      </c>
      <c r="E19" s="428">
        <v>145143</v>
      </c>
      <c r="F19" s="428" t="s">
        <v>36</v>
      </c>
      <c r="G19" s="428" t="s">
        <v>36</v>
      </c>
      <c r="H19" s="428" t="s">
        <v>36</v>
      </c>
      <c r="I19" s="428" t="s">
        <v>36</v>
      </c>
    </row>
    <row r="20" spans="1:9">
      <c r="A20" s="283"/>
      <c r="B20" s="283"/>
      <c r="C20" s="285">
        <v>2018</v>
      </c>
      <c r="D20" s="428">
        <v>135849</v>
      </c>
      <c r="E20" s="428" t="s">
        <v>36</v>
      </c>
      <c r="F20" s="428" t="s">
        <v>36</v>
      </c>
      <c r="G20" s="428" t="s">
        <v>36</v>
      </c>
      <c r="H20" s="428" t="s">
        <v>36</v>
      </c>
      <c r="I20" s="428" t="s">
        <v>36</v>
      </c>
    </row>
    <row r="21" spans="1:9">
      <c r="A21" s="283"/>
      <c r="B21" s="283"/>
      <c r="C21" s="285"/>
      <c r="D21" s="96"/>
      <c r="E21" s="96"/>
      <c r="F21" s="96"/>
      <c r="G21" s="96"/>
      <c r="H21" s="96"/>
      <c r="I21" s="96"/>
    </row>
    <row r="22" spans="1:9">
      <c r="A22" s="548" t="s">
        <v>300</v>
      </c>
      <c r="B22" s="548"/>
      <c r="C22" s="548"/>
      <c r="D22" s="548"/>
      <c r="E22" s="548"/>
      <c r="F22" s="548"/>
      <c r="G22" s="548"/>
      <c r="H22" s="548"/>
      <c r="I22" s="548"/>
    </row>
    <row r="23" spans="1:9">
      <c r="A23" s="65"/>
      <c r="B23" s="65"/>
      <c r="C23" s="66"/>
      <c r="D23" s="66"/>
      <c r="E23" s="66"/>
      <c r="F23" s="66"/>
      <c r="G23" s="66"/>
      <c r="H23" s="66"/>
      <c r="I23" s="66"/>
    </row>
    <row r="24" spans="1:9">
      <c r="A24" s="283"/>
      <c r="B24" s="283"/>
      <c r="C24" s="285" t="s">
        <v>60</v>
      </c>
      <c r="D24" s="546"/>
      <c r="E24" s="546"/>
      <c r="F24" s="546"/>
      <c r="G24" s="546"/>
      <c r="H24" s="546"/>
      <c r="I24" s="546"/>
    </row>
    <row r="25" spans="1:9">
      <c r="A25" s="283"/>
      <c r="B25" s="283"/>
      <c r="C25" s="38" t="s">
        <v>8</v>
      </c>
      <c r="D25" s="100" t="s">
        <v>479</v>
      </c>
      <c r="E25" s="100" t="s">
        <v>480</v>
      </c>
      <c r="F25" s="100" t="s">
        <v>481</v>
      </c>
      <c r="G25" s="100" t="s">
        <v>482</v>
      </c>
      <c r="H25" s="100" t="s">
        <v>483</v>
      </c>
      <c r="I25" s="100" t="s">
        <v>484</v>
      </c>
    </row>
    <row r="26" spans="1:9" ht="4.1500000000000004" customHeight="1">
      <c r="A26" s="283"/>
      <c r="B26" s="283"/>
      <c r="C26" s="283"/>
      <c r="D26" s="283"/>
      <c r="E26" s="283"/>
      <c r="F26" s="283"/>
      <c r="G26" s="283"/>
      <c r="H26" s="283"/>
      <c r="I26" s="283"/>
    </row>
    <row r="27" spans="1:9">
      <c r="A27" s="283"/>
      <c r="B27" s="283"/>
      <c r="C27" s="319">
        <v>2011</v>
      </c>
      <c r="D27" s="70"/>
      <c r="E27" s="70"/>
      <c r="F27" s="70"/>
      <c r="G27" s="70"/>
      <c r="H27" s="213">
        <f t="shared" ref="H27" si="0">I13/H13</f>
        <v>1.0020540329494045</v>
      </c>
      <c r="I27" s="70"/>
    </row>
    <row r="28" spans="1:9">
      <c r="A28" s="283"/>
      <c r="B28" s="283"/>
      <c r="C28" s="319">
        <v>2012</v>
      </c>
      <c r="D28" s="70"/>
      <c r="E28" s="70"/>
      <c r="F28" s="70"/>
      <c r="G28" s="213">
        <f t="shared" ref="G28:H28" si="1">H14/G14</f>
        <v>1.0045568926025099</v>
      </c>
      <c r="H28" s="213">
        <f t="shared" si="1"/>
        <v>1.0024166419114755</v>
      </c>
      <c r="I28" s="70"/>
    </row>
    <row r="29" spans="1:9">
      <c r="A29" s="283"/>
      <c r="B29" s="283"/>
      <c r="C29" s="319">
        <v>2013</v>
      </c>
      <c r="D29" s="70"/>
      <c r="E29" s="70"/>
      <c r="F29" s="213">
        <f t="shared" ref="F29:G30" si="2">G15/F15</f>
        <v>1.0074125937989924</v>
      </c>
      <c r="G29" s="213">
        <f t="shared" si="2"/>
        <v>1.0041096304354395</v>
      </c>
      <c r="H29" s="213">
        <f>I15/H15</f>
        <v>1.0013692858647567</v>
      </c>
      <c r="I29" s="70"/>
    </row>
    <row r="30" spans="1:9">
      <c r="A30" s="283"/>
      <c r="B30" s="283"/>
      <c r="C30" s="319">
        <v>2014</v>
      </c>
      <c r="D30" s="70"/>
      <c r="E30" s="213">
        <f t="shared" ref="D30:E32" si="3">F16/E16</f>
        <v>1.0192565193267986</v>
      </c>
      <c r="F30" s="213">
        <f t="shared" si="2"/>
        <v>1.0079693419849323</v>
      </c>
      <c r="G30" s="213">
        <f>H16/G16</f>
        <v>1.0035355280970073</v>
      </c>
      <c r="H30" s="70"/>
      <c r="I30" s="70"/>
    </row>
    <row r="31" spans="1:9">
      <c r="A31" s="283"/>
      <c r="B31" s="283"/>
      <c r="C31" s="319">
        <v>2015</v>
      </c>
      <c r="D31" s="213">
        <f t="shared" si="3"/>
        <v>1.0995315886369463</v>
      </c>
      <c r="E31" s="213">
        <f t="shared" si="3"/>
        <v>1.0160018651180536</v>
      </c>
      <c r="F31" s="213">
        <f>G17/F17</f>
        <v>1.0046936604293135</v>
      </c>
      <c r="G31" s="70"/>
      <c r="H31" s="70"/>
      <c r="I31" s="70"/>
    </row>
    <row r="32" spans="1:9">
      <c r="A32" s="283"/>
      <c r="B32" s="283"/>
      <c r="C32" s="319">
        <v>2016</v>
      </c>
      <c r="D32" s="213">
        <f t="shared" si="3"/>
        <v>1.1006243758147762</v>
      </c>
      <c r="E32" s="213">
        <f>F18/E18</f>
        <v>1.0192837847198171</v>
      </c>
      <c r="F32" s="70"/>
      <c r="G32" s="70"/>
      <c r="H32" s="70"/>
      <c r="I32" s="70"/>
    </row>
    <row r="33" spans="1:9">
      <c r="A33" s="283"/>
      <c r="B33" s="283"/>
      <c r="C33" s="285">
        <v>2017</v>
      </c>
      <c r="D33" s="213">
        <f>E19/D19</f>
        <v>1.0881100532273784</v>
      </c>
      <c r="E33" s="70"/>
      <c r="F33" s="70"/>
      <c r="G33" s="70"/>
      <c r="H33" s="70"/>
      <c r="I33" s="70"/>
    </row>
    <row r="34" spans="1:9">
      <c r="A34" s="65"/>
      <c r="B34" s="65"/>
      <c r="C34" s="70"/>
      <c r="D34" s="70"/>
      <c r="E34" s="70"/>
      <c r="F34" s="70"/>
      <c r="G34" s="206"/>
      <c r="H34" s="70"/>
      <c r="I34" s="70"/>
    </row>
    <row r="35" spans="1:9">
      <c r="A35" s="283"/>
      <c r="B35" s="283"/>
      <c r="C35" s="283" t="s">
        <v>301</v>
      </c>
      <c r="D35" s="70">
        <f>D33</f>
        <v>1.0881100532273784</v>
      </c>
      <c r="E35" s="70">
        <f>E32</f>
        <v>1.0192837847198171</v>
      </c>
      <c r="F35" s="70">
        <f>F31</f>
        <v>1.0046936604293135</v>
      </c>
      <c r="G35" s="70">
        <f>G30</f>
        <v>1.0035355280970073</v>
      </c>
      <c r="H35" s="70">
        <f>H29</f>
        <v>1.0013692858647567</v>
      </c>
      <c r="I35" s="70"/>
    </row>
    <row r="36" spans="1:9">
      <c r="A36" s="283"/>
      <c r="B36" s="283"/>
      <c r="C36" s="283" t="s">
        <v>21</v>
      </c>
      <c r="D36" s="70">
        <f t="shared" ref="D36:G36" si="4">D35*E36</f>
        <v>1.1249693241747722</v>
      </c>
      <c r="E36" s="70">
        <f t="shared" si="4"/>
        <v>1.0338745799085927</v>
      </c>
      <c r="F36" s="70">
        <f t="shared" si="4"/>
        <v>1.0143147525816731</v>
      </c>
      <c r="G36" s="70">
        <f t="shared" si="4"/>
        <v>1.0095761449796035</v>
      </c>
      <c r="H36" s="70">
        <f>H35*I36</f>
        <v>1.0060193353533291</v>
      </c>
      <c r="I36" s="429">
        <v>1.0046436909481968</v>
      </c>
    </row>
    <row r="37" spans="1:9">
      <c r="A37" s="283"/>
      <c r="B37" s="283"/>
      <c r="C37" s="283"/>
      <c r="D37" s="283"/>
      <c r="E37" s="283"/>
      <c r="F37" s="283"/>
      <c r="G37" s="283"/>
      <c r="H37" s="283"/>
      <c r="I37" s="283"/>
    </row>
    <row r="38" spans="1:9">
      <c r="A38" s="283"/>
      <c r="B38" s="283"/>
      <c r="C38" s="283"/>
      <c r="D38" s="284"/>
      <c r="E38" s="284"/>
      <c r="F38" s="284"/>
      <c r="G38" s="284"/>
      <c r="H38" s="284"/>
      <c r="I38" s="284"/>
    </row>
    <row r="39" spans="1:9">
      <c r="A39" s="283"/>
      <c r="B39" s="283"/>
      <c r="C39" s="283" t="s">
        <v>302</v>
      </c>
      <c r="D39" s="207">
        <v>2018</v>
      </c>
      <c r="E39" s="207">
        <v>2017</v>
      </c>
      <c r="F39" s="207">
        <v>2016</v>
      </c>
      <c r="G39" s="207">
        <v>2015</v>
      </c>
      <c r="H39" s="207">
        <v>2014</v>
      </c>
      <c r="I39" s="207">
        <v>2013</v>
      </c>
    </row>
    <row r="40" spans="1:9">
      <c r="A40" s="283"/>
      <c r="B40" s="283"/>
      <c r="C40" s="283" t="s">
        <v>303</v>
      </c>
      <c r="D40" s="208">
        <f>D36*D20</f>
        <v>152825.95771981863</v>
      </c>
      <c r="E40" s="208">
        <f>E36*E19</f>
        <v>150059.65815167286</v>
      </c>
      <c r="F40" s="208">
        <f>F36*F18</f>
        <v>149260.47310140354</v>
      </c>
      <c r="G40" s="208">
        <f>G36*G17</f>
        <v>145869.61888352298</v>
      </c>
      <c r="H40" s="208">
        <f>H36*H16</f>
        <v>140205.89671018743</v>
      </c>
      <c r="I40" s="435">
        <v>133716.06597782311</v>
      </c>
    </row>
    <row r="41" spans="1:9">
      <c r="A41" s="283"/>
      <c r="B41" s="283"/>
      <c r="C41" s="283"/>
      <c r="D41" s="209"/>
      <c r="E41" s="209"/>
      <c r="F41" s="209"/>
      <c r="G41" s="209"/>
      <c r="H41" s="209"/>
      <c r="I41" s="209"/>
    </row>
    <row r="42" spans="1:9">
      <c r="A42" s="548" t="s">
        <v>304</v>
      </c>
      <c r="B42" s="548"/>
      <c r="C42" s="548"/>
      <c r="D42" s="548"/>
      <c r="E42" s="548"/>
      <c r="F42" s="548"/>
      <c r="G42" s="548"/>
      <c r="H42" s="548"/>
      <c r="I42" s="548"/>
    </row>
    <row r="43" spans="1:9">
      <c r="A43" s="283"/>
      <c r="B43" s="283"/>
      <c r="C43" s="283"/>
      <c r="D43" s="283"/>
      <c r="E43" s="283"/>
      <c r="F43" s="283"/>
      <c r="G43" s="283"/>
      <c r="H43" s="283"/>
      <c r="I43" s="283"/>
    </row>
    <row r="44" spans="1:9">
      <c r="A44" s="283"/>
      <c r="B44" s="283"/>
      <c r="C44" s="285" t="s">
        <v>218</v>
      </c>
      <c r="D44" s="550"/>
      <c r="E44" s="550"/>
      <c r="F44" s="550"/>
      <c r="G44" s="550"/>
      <c r="H44" s="550"/>
      <c r="I44" s="550"/>
    </row>
    <row r="45" spans="1:9">
      <c r="A45" s="283"/>
      <c r="B45" s="285"/>
      <c r="C45" s="38" t="s">
        <v>8</v>
      </c>
      <c r="D45" s="427">
        <v>15</v>
      </c>
      <c r="E45" s="427">
        <v>27</v>
      </c>
      <c r="F45" s="427">
        <v>39</v>
      </c>
      <c r="G45" s="427">
        <v>51</v>
      </c>
      <c r="H45" s="427">
        <v>63</v>
      </c>
      <c r="I45" s="427">
        <v>75</v>
      </c>
    </row>
    <row r="46" spans="1:9" ht="3.6" customHeight="1">
      <c r="A46" s="283"/>
      <c r="B46" s="283"/>
      <c r="C46" s="283"/>
      <c r="D46" s="409"/>
      <c r="E46" s="409"/>
      <c r="F46" s="409"/>
      <c r="G46" s="409"/>
      <c r="H46" s="409"/>
      <c r="I46" s="409"/>
    </row>
    <row r="47" spans="1:9">
      <c r="A47" s="283"/>
      <c r="B47" s="285"/>
      <c r="C47" s="285">
        <v>2010</v>
      </c>
      <c r="D47" s="428"/>
      <c r="E47" s="428"/>
      <c r="F47" s="428"/>
      <c r="G47" s="428"/>
      <c r="H47" s="428"/>
      <c r="I47" s="428">
        <v>102249.00000000003</v>
      </c>
    </row>
    <row r="48" spans="1:9">
      <c r="A48" s="283"/>
      <c r="B48" s="285"/>
      <c r="C48" s="285">
        <v>2011</v>
      </c>
      <c r="D48" s="428"/>
      <c r="E48" s="428"/>
      <c r="F48" s="428"/>
      <c r="G48" s="428"/>
      <c r="H48" s="428">
        <v>98064</v>
      </c>
      <c r="I48" s="428">
        <v>104137</v>
      </c>
    </row>
    <row r="49" spans="1:11">
      <c r="A49" s="283"/>
      <c r="B49" s="283"/>
      <c r="C49" s="285">
        <v>2012</v>
      </c>
      <c r="D49" s="428"/>
      <c r="E49" s="428"/>
      <c r="F49" s="428"/>
      <c r="G49" s="428">
        <v>95688</v>
      </c>
      <c r="H49" s="428">
        <v>105187</v>
      </c>
      <c r="I49" s="428">
        <v>111619</v>
      </c>
    </row>
    <row r="50" spans="1:11">
      <c r="A50" s="283"/>
      <c r="B50" s="283"/>
      <c r="C50" s="285">
        <v>2013</v>
      </c>
      <c r="D50" s="428"/>
      <c r="E50" s="428"/>
      <c r="F50" s="428">
        <v>89081.999999999985</v>
      </c>
      <c r="G50" s="428">
        <v>104486.99999999999</v>
      </c>
      <c r="H50" s="428">
        <v>114605.99999999999</v>
      </c>
      <c r="I50" s="428">
        <v>120841</v>
      </c>
    </row>
    <row r="51" spans="1:11">
      <c r="A51" s="283"/>
      <c r="B51" s="283"/>
      <c r="C51" s="285">
        <v>2014</v>
      </c>
      <c r="D51" s="428"/>
      <c r="E51" s="428">
        <v>72458</v>
      </c>
      <c r="F51" s="428">
        <v>95318</v>
      </c>
      <c r="G51" s="428">
        <v>111796</v>
      </c>
      <c r="H51" s="428">
        <v>121882</v>
      </c>
      <c r="I51" s="428"/>
    </row>
    <row r="52" spans="1:11">
      <c r="A52" s="283"/>
      <c r="B52" s="283"/>
      <c r="C52" s="285">
        <v>2015</v>
      </c>
      <c r="D52" s="428">
        <v>43771</v>
      </c>
      <c r="E52" s="428">
        <v>78191</v>
      </c>
      <c r="F52" s="428">
        <v>103252.00000000001</v>
      </c>
      <c r="G52" s="428">
        <v>119602</v>
      </c>
      <c r="H52" s="428"/>
      <c r="I52" s="428"/>
    </row>
    <row r="53" spans="1:11">
      <c r="A53" s="283"/>
      <c r="B53" s="283"/>
      <c r="C53" s="285">
        <v>2016</v>
      </c>
      <c r="D53" s="428">
        <v>46923</v>
      </c>
      <c r="E53" s="428">
        <v>83728</v>
      </c>
      <c r="F53" s="428">
        <v>109606</v>
      </c>
      <c r="G53" s="428"/>
      <c r="H53" s="428"/>
      <c r="I53" s="428" t="s">
        <v>36</v>
      </c>
    </row>
    <row r="54" spans="1:11">
      <c r="A54" s="283"/>
      <c r="B54" s="283"/>
      <c r="C54" s="285">
        <v>2017</v>
      </c>
      <c r="D54" s="428">
        <v>50824</v>
      </c>
      <c r="E54" s="428">
        <v>88430</v>
      </c>
      <c r="F54" s="428"/>
      <c r="G54" s="428"/>
      <c r="H54" s="428" t="s">
        <v>36</v>
      </c>
      <c r="I54" s="428" t="s">
        <v>36</v>
      </c>
    </row>
    <row r="55" spans="1:11">
      <c r="A55" s="283"/>
      <c r="B55" s="283"/>
      <c r="C55" s="285">
        <v>2018</v>
      </c>
      <c r="D55" s="428">
        <v>52750</v>
      </c>
      <c r="E55" s="428"/>
      <c r="F55" s="428"/>
      <c r="G55" s="428" t="s">
        <v>36</v>
      </c>
      <c r="H55" s="428" t="s">
        <v>36</v>
      </c>
      <c r="I55" s="428" t="s">
        <v>36</v>
      </c>
    </row>
    <row r="56" spans="1:11">
      <c r="A56" s="283"/>
      <c r="B56" s="283"/>
      <c r="C56" s="285"/>
      <c r="D56" s="283"/>
      <c r="E56" s="283"/>
      <c r="F56" s="283"/>
      <c r="G56" s="283"/>
      <c r="H56" s="283"/>
      <c r="I56" s="283"/>
    </row>
    <row r="57" spans="1:11">
      <c r="A57" s="283"/>
      <c r="B57" s="549" t="s">
        <v>322</v>
      </c>
      <c r="C57" s="549"/>
      <c r="D57" s="549"/>
      <c r="E57" s="549"/>
      <c r="F57" s="549"/>
      <c r="G57" s="549"/>
      <c r="H57" s="549"/>
      <c r="I57" s="549"/>
    </row>
    <row r="58" spans="1:11">
      <c r="A58" s="10"/>
      <c r="B58" s="10"/>
      <c r="C58" s="10"/>
      <c r="D58" s="10"/>
      <c r="E58" s="10"/>
      <c r="F58" s="10"/>
      <c r="G58" s="10"/>
      <c r="H58" s="10"/>
      <c r="I58" s="10"/>
    </row>
    <row r="59" spans="1:11" s="283" customFormat="1" ht="12.75">
      <c r="A59" s="547" t="s">
        <v>31</v>
      </c>
      <c r="B59" s="547"/>
      <c r="C59" s="547"/>
      <c r="D59" s="547"/>
      <c r="E59" s="547"/>
      <c r="F59" s="547"/>
      <c r="G59" s="547"/>
      <c r="H59" s="547"/>
      <c r="I59" s="547"/>
      <c r="J59" s="547"/>
      <c r="K59" s="281"/>
    </row>
    <row r="60" spans="1:11" s="283" customFormat="1" ht="12.75">
      <c r="A60" s="547" t="s">
        <v>297</v>
      </c>
      <c r="B60" s="547"/>
      <c r="C60" s="547"/>
      <c r="D60" s="547"/>
      <c r="E60" s="547"/>
      <c r="F60" s="547"/>
      <c r="G60" s="547"/>
      <c r="H60" s="547"/>
      <c r="I60" s="547"/>
      <c r="J60" s="547"/>
      <c r="K60" s="281"/>
    </row>
    <row r="61" spans="1:11" s="283" customFormat="1" ht="12.75">
      <c r="A61" s="547" t="s">
        <v>298</v>
      </c>
      <c r="B61" s="547"/>
      <c r="C61" s="547"/>
      <c r="D61" s="547"/>
      <c r="E61" s="547"/>
      <c r="F61" s="547"/>
      <c r="G61" s="547"/>
      <c r="H61" s="547"/>
      <c r="I61" s="547"/>
      <c r="J61" s="547"/>
      <c r="K61" s="281"/>
    </row>
    <row r="62" spans="1:11" s="283" customFormat="1" ht="12.75">
      <c r="A62" s="281"/>
      <c r="B62" s="281"/>
      <c r="C62" s="281"/>
      <c r="D62" s="281"/>
      <c r="E62" s="281"/>
      <c r="F62" s="281"/>
      <c r="G62" s="281"/>
      <c r="H62" s="281"/>
      <c r="I62" s="281"/>
      <c r="J62" s="281"/>
      <c r="K62" s="281"/>
    </row>
    <row r="63" spans="1:11" s="283" customFormat="1" ht="12.75"/>
    <row r="64" spans="1:11" s="283" customFormat="1" ht="12.75">
      <c r="A64" s="548" t="s">
        <v>351</v>
      </c>
      <c r="B64" s="548"/>
      <c r="C64" s="548"/>
      <c r="D64" s="548"/>
      <c r="E64" s="548"/>
      <c r="F64" s="548"/>
      <c r="G64" s="548"/>
      <c r="H64" s="548"/>
      <c r="I64" s="548"/>
    </row>
    <row r="65" spans="1:18" s="283" customFormat="1" ht="12.75"/>
    <row r="66" spans="1:18" s="283" customFormat="1" ht="12.75">
      <c r="C66" s="285" t="s">
        <v>218</v>
      </c>
      <c r="D66" s="546"/>
      <c r="E66" s="546"/>
      <c r="F66" s="546"/>
      <c r="G66" s="546"/>
      <c r="H66" s="546"/>
      <c r="I66" s="546"/>
    </row>
    <row r="67" spans="1:18" s="283" customFormat="1" ht="12.75">
      <c r="C67" s="38" t="s">
        <v>8</v>
      </c>
      <c r="D67" s="100">
        <v>15</v>
      </c>
      <c r="E67" s="100">
        <v>27</v>
      </c>
      <c r="F67" s="100">
        <v>39</v>
      </c>
      <c r="G67" s="100">
        <v>51</v>
      </c>
      <c r="H67" s="100">
        <v>63</v>
      </c>
      <c r="I67" s="100">
        <v>75</v>
      </c>
      <c r="J67" s="38"/>
    </row>
    <row r="68" spans="1:18" s="283" customFormat="1" ht="4.5" customHeight="1"/>
    <row r="69" spans="1:18" s="283" customFormat="1" ht="12.75">
      <c r="C69" s="285">
        <v>2010</v>
      </c>
      <c r="D69" s="210"/>
      <c r="E69" s="210"/>
      <c r="F69" s="210"/>
      <c r="G69" s="430"/>
      <c r="H69" s="430"/>
      <c r="I69" s="430">
        <v>0.86713656212285495</v>
      </c>
      <c r="J69" s="210"/>
    </row>
    <row r="70" spans="1:18" s="283" customFormat="1" ht="12.75">
      <c r="C70" s="285">
        <v>2011</v>
      </c>
      <c r="D70" s="210"/>
      <c r="E70" s="210"/>
      <c r="F70" s="210"/>
      <c r="G70" s="430"/>
      <c r="H70" s="430">
        <v>0.82664569465083959</v>
      </c>
      <c r="I70" s="430">
        <v>0.87783898988267328</v>
      </c>
      <c r="J70" s="210"/>
    </row>
    <row r="71" spans="1:18" s="283" customFormat="1" ht="12.75">
      <c r="C71" s="285">
        <v>2012</v>
      </c>
      <c r="D71" s="210"/>
      <c r="E71" s="210"/>
      <c r="F71" s="210"/>
      <c r="G71" s="430">
        <v>0.7628566835360121</v>
      </c>
      <c r="H71" s="430">
        <v>0.83858588298535353</v>
      </c>
      <c r="I71" s="430">
        <v>0.88986393444952483</v>
      </c>
      <c r="J71" s="210"/>
    </row>
    <row r="72" spans="1:18" s="283" customFormat="1" ht="12.75">
      <c r="C72" s="285">
        <v>2013</v>
      </c>
      <c r="D72" s="210"/>
      <c r="E72" s="210"/>
      <c r="F72" s="210">
        <f t="shared" ref="F72:I74" si="5">F50/HLOOKUP($C72,$D$39:$I$40,2,FALSE)</f>
        <v>0.66620266868137068</v>
      </c>
      <c r="G72" s="210">
        <f t="shared" si="5"/>
        <v>0.78140946815866708</v>
      </c>
      <c r="H72" s="210">
        <f t="shared" si="5"/>
        <v>0.85708474267413359</v>
      </c>
      <c r="I72" s="210">
        <f t="shared" si="5"/>
        <v>0.9037133953674763</v>
      </c>
    </row>
    <row r="73" spans="1:18" s="283" customFormat="1" ht="12.75">
      <c r="C73" s="285">
        <v>2014</v>
      </c>
      <c r="D73" s="210"/>
      <c r="E73" s="210">
        <f t="shared" ref="D73:E76" si="6">E51/HLOOKUP($C73,$D$39:$I$40,2,FALSE)</f>
        <v>0.51679709413202712</v>
      </c>
      <c r="F73" s="210">
        <f t="shared" si="5"/>
        <v>0.67984301827923155</v>
      </c>
      <c r="G73" s="210">
        <f t="shared" si="5"/>
        <v>0.79737017217676587</v>
      </c>
      <c r="H73" s="210">
        <f t="shared" si="5"/>
        <v>0.86930723214827521</v>
      </c>
      <c r="I73" s="210"/>
    </row>
    <row r="74" spans="1:18" s="283" customFormat="1" ht="12.75">
      <c r="C74" s="285">
        <v>2015</v>
      </c>
      <c r="D74" s="210">
        <f t="shared" si="6"/>
        <v>0.30006933818721487</v>
      </c>
      <c r="E74" s="210">
        <f t="shared" si="6"/>
        <v>0.53603348386366578</v>
      </c>
      <c r="F74" s="210">
        <f t="shared" si="5"/>
        <v>0.70783759353239162</v>
      </c>
      <c r="G74" s="210">
        <f t="shared" si="5"/>
        <v>0.81992399044726583</v>
      </c>
      <c r="H74" s="210"/>
      <c r="I74" s="210"/>
    </row>
    <row r="75" spans="1:18" s="283" customFormat="1" ht="12.75">
      <c r="C75" s="285">
        <v>2016</v>
      </c>
      <c r="D75" s="210">
        <f t="shared" si="6"/>
        <v>0.3143698999809667</v>
      </c>
      <c r="E75" s="210">
        <f t="shared" si="6"/>
        <v>0.56095226191007352</v>
      </c>
      <c r="F75" s="210">
        <f>F53/HLOOKUP($C75,$D$39:$I$40,2,FALSE)</f>
        <v>0.73432703061001714</v>
      </c>
      <c r="G75" s="210"/>
      <c r="H75" s="210"/>
      <c r="I75" s="210"/>
    </row>
    <row r="76" spans="1:18" s="283" customFormat="1" ht="12.75">
      <c r="C76" s="285">
        <v>2017</v>
      </c>
      <c r="D76" s="210">
        <f t="shared" si="6"/>
        <v>0.33869196175716743</v>
      </c>
      <c r="E76" s="210">
        <f>E54/HLOOKUP($C76,$D$39:$I$40,2,FALSE)</f>
        <v>0.58929895675638111</v>
      </c>
      <c r="F76" s="210"/>
      <c r="G76" s="210"/>
      <c r="H76" s="210"/>
      <c r="I76" s="210"/>
    </row>
    <row r="77" spans="1:18" s="283" customFormat="1" ht="12.75">
      <c r="C77" s="285">
        <v>2018</v>
      </c>
      <c r="D77" s="210">
        <f>D55/HLOOKUP($C77,$D$39:$I$40,2,FALSE)</f>
        <v>0.34516387652357128</v>
      </c>
      <c r="E77" s="210"/>
      <c r="F77" s="210"/>
      <c r="G77" s="210"/>
      <c r="H77" s="210"/>
      <c r="I77" s="210"/>
    </row>
    <row r="78" spans="1:18" s="283" customFormat="1" ht="12.75">
      <c r="C78" s="285"/>
      <c r="D78" s="210"/>
      <c r="E78" s="210"/>
      <c r="F78" s="210"/>
      <c r="G78" s="210"/>
      <c r="H78" s="210"/>
      <c r="I78" s="210"/>
    </row>
    <row r="79" spans="1:18" s="283" customFormat="1" ht="12.75">
      <c r="A79" s="548" t="s">
        <v>352</v>
      </c>
      <c r="B79" s="548"/>
      <c r="C79" s="548"/>
      <c r="D79" s="548"/>
      <c r="E79" s="548"/>
      <c r="F79" s="548"/>
      <c r="G79" s="548"/>
      <c r="H79" s="548"/>
      <c r="I79" s="548"/>
      <c r="J79" s="548"/>
      <c r="L79" s="431" t="s">
        <v>534</v>
      </c>
      <c r="M79" s="139"/>
      <c r="N79" s="139"/>
      <c r="O79" s="139"/>
      <c r="P79" s="139"/>
      <c r="Q79" s="139"/>
      <c r="R79" s="139"/>
    </row>
    <row r="80" spans="1:18" s="283" customFormat="1" ht="12.75">
      <c r="L80" s="136"/>
      <c r="M80" s="136"/>
      <c r="N80" s="136"/>
      <c r="O80" s="136"/>
      <c r="P80" s="136"/>
      <c r="Q80" s="136"/>
      <c r="R80" s="136"/>
    </row>
    <row r="81" spans="1:18" s="283" customFormat="1" ht="12.75">
      <c r="C81" s="285" t="s">
        <v>218</v>
      </c>
      <c r="D81" s="546"/>
      <c r="E81" s="546"/>
      <c r="F81" s="546"/>
      <c r="G81" s="546"/>
      <c r="H81" s="546"/>
      <c r="I81" s="546"/>
      <c r="L81" s="392" t="s">
        <v>218</v>
      </c>
      <c r="M81" s="546" t="s">
        <v>350</v>
      </c>
      <c r="N81" s="546"/>
      <c r="O81" s="546"/>
      <c r="P81" s="546"/>
      <c r="Q81" s="546"/>
      <c r="R81" s="546"/>
    </row>
    <row r="82" spans="1:18" s="283" customFormat="1" ht="12.75">
      <c r="C82" s="38" t="s">
        <v>8</v>
      </c>
      <c r="D82" s="100">
        <v>15</v>
      </c>
      <c r="E82" s="100">
        <v>27</v>
      </c>
      <c r="F82" s="100">
        <v>39</v>
      </c>
      <c r="G82" s="100">
        <v>51</v>
      </c>
      <c r="H82" s="100">
        <v>63</v>
      </c>
      <c r="I82" s="100">
        <v>75</v>
      </c>
      <c r="L82" s="38" t="s">
        <v>8</v>
      </c>
      <c r="M82" s="100">
        <f>D82</f>
        <v>15</v>
      </c>
      <c r="N82" s="100">
        <f t="shared" ref="N82:R82" si="7">E82</f>
        <v>27</v>
      </c>
      <c r="O82" s="100">
        <f t="shared" si="7"/>
        <v>39</v>
      </c>
      <c r="P82" s="100">
        <f t="shared" si="7"/>
        <v>51</v>
      </c>
      <c r="Q82" s="100">
        <f t="shared" si="7"/>
        <v>63</v>
      </c>
      <c r="R82" s="100">
        <f t="shared" si="7"/>
        <v>75</v>
      </c>
    </row>
    <row r="83" spans="1:18" s="283" customFormat="1" ht="4.5" customHeight="1">
      <c r="L83" s="389"/>
      <c r="M83" s="389"/>
      <c r="N83" s="389"/>
      <c r="O83" s="389"/>
      <c r="P83" s="389"/>
      <c r="Q83" s="389"/>
      <c r="R83" s="389"/>
    </row>
    <row r="84" spans="1:18" s="283" customFormat="1" ht="12.75">
      <c r="C84" s="285">
        <v>2010</v>
      </c>
      <c r="D84" s="211"/>
      <c r="E84" s="211"/>
      <c r="F84" s="211"/>
      <c r="G84" s="433"/>
      <c r="H84" s="433"/>
      <c r="I84" s="433">
        <v>106561.98227498731</v>
      </c>
      <c r="L84" s="392">
        <f>C84</f>
        <v>2010</v>
      </c>
      <c r="M84" s="211"/>
      <c r="N84" s="211"/>
      <c r="O84" s="211"/>
      <c r="P84" s="432"/>
      <c r="Q84" s="432"/>
      <c r="R84" s="211">
        <f>ROUND(I47-I84,0)</f>
        <v>-4313</v>
      </c>
    </row>
    <row r="85" spans="1:18" s="283" customFormat="1" ht="12.75">
      <c r="C85" s="285">
        <v>2011</v>
      </c>
      <c r="D85" s="211"/>
      <c r="E85" s="211"/>
      <c r="F85" s="211"/>
      <c r="G85" s="433"/>
      <c r="H85" s="433">
        <v>103124.88768165132</v>
      </c>
      <c r="I85" s="433">
        <v>107206.45008711798</v>
      </c>
      <c r="L85" s="392">
        <f t="shared" ref="L85:L92" si="8">C85</f>
        <v>2011</v>
      </c>
      <c r="M85" s="211"/>
      <c r="N85" s="211"/>
      <c r="O85" s="211"/>
      <c r="P85" s="432"/>
      <c r="Q85" s="211">
        <f>ROUND(H48-H85,0)</f>
        <v>-5061</v>
      </c>
      <c r="R85" s="211">
        <f t="shared" ref="M85:R92" si="9">ROUND(I48-I85,0)</f>
        <v>-3069</v>
      </c>
    </row>
    <row r="86" spans="1:18" s="283" customFormat="1" ht="12.75">
      <c r="C86" s="285">
        <v>2012</v>
      </c>
      <c r="D86" s="211"/>
      <c r="E86" s="211"/>
      <c r="F86" s="211"/>
      <c r="G86" s="433">
        <v>102846.16821373666</v>
      </c>
      <c r="H86" s="433">
        <v>109040.49505633961</v>
      </c>
      <c r="I86" s="433">
        <v>113356.19028084569</v>
      </c>
      <c r="L86" s="392">
        <f t="shared" si="8"/>
        <v>2012</v>
      </c>
      <c r="M86" s="211"/>
      <c r="N86" s="211"/>
      <c r="O86" s="211"/>
      <c r="P86" s="211">
        <f>ROUND(G49-G86,0)</f>
        <v>-7158</v>
      </c>
      <c r="Q86" s="211">
        <f t="shared" si="9"/>
        <v>-3853</v>
      </c>
      <c r="R86" s="211">
        <f t="shared" si="9"/>
        <v>-1737</v>
      </c>
    </row>
    <row r="87" spans="1:18" s="283" customFormat="1" ht="12.75">
      <c r="C87" s="285">
        <v>2013</v>
      </c>
      <c r="D87" s="211"/>
      <c r="E87" s="211"/>
      <c r="F87" s="211">
        <f t="shared" ref="F87:F90" si="10">HLOOKUP($C87,$D$39:$I$40,2,FALSE)*F$75</f>
        <v>98191.321674347986</v>
      </c>
      <c r="G87" s="211">
        <f>HLOOKUP($C87,$D$39:$I$40,2,FALSE)*G$74</f>
        <v>109637.01040344661</v>
      </c>
      <c r="H87" s="211">
        <f>HLOOKUP($C87,$D$39:$I$40,2,FALSE)*H$73</f>
        <v>116240.34320893756</v>
      </c>
      <c r="I87" s="211">
        <f>HLOOKUP($C87,$D$39:$I$40,2,FALSE)*I$72</f>
        <v>120841</v>
      </c>
      <c r="L87" s="392">
        <f t="shared" si="8"/>
        <v>2013</v>
      </c>
      <c r="M87" s="211"/>
      <c r="N87" s="211"/>
      <c r="O87" s="211">
        <f>ROUND(F50-F87,0)</f>
        <v>-9109</v>
      </c>
      <c r="P87" s="211">
        <f t="shared" si="9"/>
        <v>-5150</v>
      </c>
      <c r="Q87" s="211">
        <f t="shared" si="9"/>
        <v>-1634</v>
      </c>
      <c r="R87" s="211">
        <f t="shared" si="9"/>
        <v>0</v>
      </c>
    </row>
    <row r="88" spans="1:18" s="283" customFormat="1" ht="12.75">
      <c r="C88" s="285">
        <v>2014</v>
      </c>
      <c r="D88" s="211"/>
      <c r="E88" s="211">
        <f>HLOOKUP($C88,$D$39:$I$40,2,FALSE)*E$76</f>
        <v>82623.188662406377</v>
      </c>
      <c r="F88" s="211">
        <f t="shared" si="10"/>
        <v>102956.97980520671</v>
      </c>
      <c r="G88" s="211">
        <f t="shared" ref="G88:G89" si="11">HLOOKUP($C88,$D$39:$I$40,2,FALSE)*G$74</f>
        <v>114958.17831485406</v>
      </c>
      <c r="H88" s="211">
        <f>HLOOKUP($C88,$D$39:$I$40,2,FALSE)*H$73</f>
        <v>121882</v>
      </c>
      <c r="I88" s="211"/>
      <c r="L88" s="392">
        <f t="shared" si="8"/>
        <v>2014</v>
      </c>
      <c r="M88" s="211"/>
      <c r="N88" s="211">
        <f>ROUND(E51-E88,0)</f>
        <v>-10165</v>
      </c>
      <c r="O88" s="211">
        <f t="shared" si="9"/>
        <v>-7639</v>
      </c>
      <c r="P88" s="211">
        <f t="shared" si="9"/>
        <v>-3162</v>
      </c>
      <c r="Q88" s="211">
        <f t="shared" si="9"/>
        <v>0</v>
      </c>
      <c r="R88" s="211"/>
    </row>
    <row r="89" spans="1:18" s="283" customFormat="1" ht="12.75">
      <c r="C89" s="285">
        <v>2015</v>
      </c>
      <c r="D89" s="211">
        <f t="shared" ref="D89:D91" si="12">HLOOKUP($C89,$D$39:$I$40,2,FALSE)*D$77</f>
        <v>50348.923120852727</v>
      </c>
      <c r="E89" s="211">
        <f t="shared" ref="E89:E91" si="13">HLOOKUP($C89,$D$39:$I$40,2,FALSE)*E$76</f>
        <v>85960.814230511009</v>
      </c>
      <c r="F89" s="211">
        <f t="shared" si="10"/>
        <v>107116.00409095232</v>
      </c>
      <c r="G89" s="211">
        <f t="shared" si="11"/>
        <v>119602</v>
      </c>
      <c r="H89" s="211"/>
      <c r="I89" s="211"/>
      <c r="L89" s="392">
        <f t="shared" si="8"/>
        <v>2015</v>
      </c>
      <c r="M89" s="211">
        <f>ROUND(D52-D89,0)</f>
        <v>-6578</v>
      </c>
      <c r="N89" s="211">
        <f t="shared" si="9"/>
        <v>-7770</v>
      </c>
      <c r="O89" s="211">
        <f t="shared" si="9"/>
        <v>-3864</v>
      </c>
      <c r="P89" s="211">
        <f t="shared" si="9"/>
        <v>0</v>
      </c>
      <c r="Q89" s="211"/>
      <c r="R89" s="211"/>
    </row>
    <row r="90" spans="1:18" s="283" customFormat="1" ht="12.75">
      <c r="C90" s="285">
        <v>2016</v>
      </c>
      <c r="D90" s="211">
        <f t="shared" si="12"/>
        <v>51519.323507422683</v>
      </c>
      <c r="E90" s="211">
        <f t="shared" si="13"/>
        <v>87959.041083620992</v>
      </c>
      <c r="F90" s="211">
        <f t="shared" si="10"/>
        <v>109606</v>
      </c>
      <c r="G90" s="211"/>
      <c r="H90" s="211"/>
      <c r="I90" s="211"/>
      <c r="L90" s="392">
        <f t="shared" si="8"/>
        <v>2016</v>
      </c>
      <c r="M90" s="211">
        <f t="shared" si="9"/>
        <v>-4596</v>
      </c>
      <c r="N90" s="211">
        <f t="shared" si="9"/>
        <v>-4231</v>
      </c>
      <c r="O90" s="211">
        <f t="shared" si="9"/>
        <v>0</v>
      </c>
      <c r="P90" s="211"/>
      <c r="Q90" s="211"/>
      <c r="R90" s="211"/>
    </row>
    <row r="91" spans="1:18" s="283" customFormat="1" ht="12.75">
      <c r="C91" s="285">
        <v>2017</v>
      </c>
      <c r="D91" s="211">
        <f t="shared" si="12"/>
        <v>51795.173317433328</v>
      </c>
      <c r="E91" s="211">
        <f t="shared" si="13"/>
        <v>88430</v>
      </c>
      <c r="F91" s="211"/>
      <c r="G91" s="211"/>
      <c r="H91" s="211"/>
      <c r="I91" s="211"/>
      <c r="L91" s="392">
        <f t="shared" si="8"/>
        <v>2017</v>
      </c>
      <c r="M91" s="211">
        <f t="shared" si="9"/>
        <v>-971</v>
      </c>
      <c r="N91" s="211">
        <f t="shared" si="9"/>
        <v>0</v>
      </c>
      <c r="O91" s="211"/>
      <c r="P91" s="211"/>
      <c r="Q91" s="211"/>
      <c r="R91" s="211"/>
    </row>
    <row r="92" spans="1:18" s="283" customFormat="1" ht="12.75">
      <c r="C92" s="285">
        <v>2018</v>
      </c>
      <c r="D92" s="211">
        <f>HLOOKUP($C92,$D$39:$I$40,2,FALSE)*D$77</f>
        <v>52750</v>
      </c>
      <c r="E92" s="211"/>
      <c r="F92" s="211"/>
      <c r="G92" s="211"/>
      <c r="H92" s="211"/>
      <c r="I92" s="211"/>
      <c r="L92" s="392">
        <f t="shared" si="8"/>
        <v>2018</v>
      </c>
      <c r="M92" s="211">
        <f t="shared" si="9"/>
        <v>0</v>
      </c>
      <c r="N92" s="211"/>
      <c r="O92" s="211"/>
      <c r="P92" s="211"/>
      <c r="Q92" s="211"/>
      <c r="R92" s="211"/>
    </row>
    <row r="93" spans="1:18" s="283" customFormat="1" ht="12.75">
      <c r="C93" s="285"/>
      <c r="D93" s="211"/>
      <c r="E93" s="211"/>
      <c r="F93" s="211"/>
      <c r="G93" s="211"/>
      <c r="H93" s="211"/>
      <c r="I93" s="211"/>
    </row>
    <row r="94" spans="1:18" s="283" customFormat="1" ht="12.75">
      <c r="A94" s="548" t="s">
        <v>305</v>
      </c>
      <c r="B94" s="548"/>
      <c r="C94" s="548"/>
      <c r="D94" s="548"/>
      <c r="E94" s="548"/>
      <c r="F94" s="548"/>
      <c r="G94" s="548"/>
      <c r="H94" s="548"/>
      <c r="I94" s="548"/>
    </row>
    <row r="95" spans="1:18" s="283" customFormat="1" ht="12.75"/>
    <row r="96" spans="1:18" s="283" customFormat="1" ht="12.75">
      <c r="C96" s="285" t="s">
        <v>218</v>
      </c>
      <c r="D96" s="546"/>
      <c r="E96" s="546"/>
      <c r="F96" s="546"/>
      <c r="G96" s="546"/>
      <c r="H96" s="546"/>
      <c r="I96" s="546"/>
    </row>
    <row r="97" spans="1:10" s="283" customFormat="1" ht="12.75">
      <c r="C97" s="38" t="s">
        <v>8</v>
      </c>
      <c r="D97" s="427">
        <v>15</v>
      </c>
      <c r="E97" s="427">
        <v>27</v>
      </c>
      <c r="F97" s="427">
        <v>39</v>
      </c>
      <c r="G97" s="427">
        <v>51</v>
      </c>
      <c r="H97" s="427">
        <v>63</v>
      </c>
      <c r="I97" s="427">
        <v>75</v>
      </c>
    </row>
    <row r="98" spans="1:10" s="283" customFormat="1" ht="4.5" customHeight="1">
      <c r="D98" s="409"/>
      <c r="E98" s="409"/>
      <c r="F98" s="409"/>
      <c r="G98" s="409"/>
      <c r="H98" s="409"/>
      <c r="I98" s="409"/>
    </row>
    <row r="99" spans="1:10" s="283" customFormat="1" ht="12.75">
      <c r="C99" s="285">
        <v>2010</v>
      </c>
      <c r="D99" s="433"/>
      <c r="E99" s="433"/>
      <c r="F99" s="433"/>
      <c r="G99" s="433"/>
      <c r="H99" s="433"/>
      <c r="I99" s="433">
        <v>17217.146231258979</v>
      </c>
    </row>
    <row r="100" spans="1:10" s="283" customFormat="1" ht="12.75">
      <c r="C100" s="285">
        <v>2011</v>
      </c>
      <c r="D100" s="433"/>
      <c r="E100" s="433"/>
      <c r="F100" s="433"/>
      <c r="G100" s="433"/>
      <c r="H100" s="433">
        <v>15545.611743351283</v>
      </c>
      <c r="I100" s="433">
        <v>17330.832787577903</v>
      </c>
    </row>
    <row r="101" spans="1:10" s="283" customFormat="1" ht="12.75">
      <c r="C101" s="285">
        <v>2012</v>
      </c>
      <c r="D101" s="433"/>
      <c r="E101" s="433"/>
      <c r="F101" s="433"/>
      <c r="G101" s="433">
        <v>13292.988546108183</v>
      </c>
      <c r="H101" s="433">
        <v>15614.06989456872</v>
      </c>
      <c r="I101" s="433">
        <v>17373.089178365692</v>
      </c>
    </row>
    <row r="102" spans="1:10" s="283" customFormat="1" ht="12.75">
      <c r="C102" s="285">
        <v>2013</v>
      </c>
      <c r="D102" s="433"/>
      <c r="E102" s="433"/>
      <c r="F102" s="433">
        <v>10517.400181854922</v>
      </c>
      <c r="G102" s="433">
        <v>13681.78447079541</v>
      </c>
      <c r="H102" s="433">
        <v>15897.177669581</v>
      </c>
      <c r="I102" s="433">
        <v>17421.206271050392</v>
      </c>
    </row>
    <row r="103" spans="1:10" s="283" customFormat="1" ht="12.75">
      <c r="C103" s="285">
        <v>2014</v>
      </c>
      <c r="D103" s="433"/>
      <c r="E103" s="433">
        <v>6727.9664219271881</v>
      </c>
      <c r="F103" s="433">
        <v>11160.253897480012</v>
      </c>
      <c r="G103" s="433">
        <v>14533.048561665893</v>
      </c>
      <c r="H103" s="433">
        <v>16785.937250783543</v>
      </c>
      <c r="I103" s="433"/>
    </row>
    <row r="104" spans="1:10" s="283" customFormat="1" ht="12.75">
      <c r="C104" s="285">
        <v>2015</v>
      </c>
      <c r="D104" s="433">
        <v>3011.3884535422994</v>
      </c>
      <c r="E104" s="433">
        <v>7371.4917189957923</v>
      </c>
      <c r="F104" s="433">
        <v>11895.008774648431</v>
      </c>
      <c r="G104" s="433">
        <v>15217.636444206619</v>
      </c>
      <c r="H104" s="433"/>
      <c r="I104" s="433"/>
    </row>
    <row r="105" spans="1:10" s="283" customFormat="1" ht="12.75">
      <c r="C105" s="285">
        <v>2016</v>
      </c>
      <c r="D105" s="433">
        <v>3254.4819811180009</v>
      </c>
      <c r="E105" s="433">
        <v>7706.282641410281</v>
      </c>
      <c r="F105" s="433">
        <v>12016.991642793277</v>
      </c>
      <c r="G105" s="433"/>
      <c r="H105" s="433"/>
      <c r="I105" s="433"/>
    </row>
    <row r="106" spans="1:10" s="283" customFormat="1" ht="12.75">
      <c r="C106" s="285">
        <v>2017</v>
      </c>
      <c r="D106" s="433">
        <v>3348.3736817251706</v>
      </c>
      <c r="E106" s="433">
        <v>7808.3441592219833</v>
      </c>
      <c r="F106" s="433"/>
      <c r="G106" s="433"/>
      <c r="H106" s="433"/>
      <c r="I106" s="433"/>
    </row>
    <row r="107" spans="1:10" s="283" customFormat="1" ht="12.75">
      <c r="C107" s="285">
        <v>2018</v>
      </c>
      <c r="D107" s="433">
        <v>3574.6759620853081</v>
      </c>
      <c r="E107" s="433"/>
      <c r="F107" s="433"/>
      <c r="G107" s="433"/>
      <c r="H107" s="433"/>
      <c r="I107" s="433"/>
    </row>
    <row r="108" spans="1:10" s="283" customFormat="1" ht="12.75">
      <c r="D108" s="211"/>
      <c r="E108" s="211"/>
      <c r="F108" s="211"/>
      <c r="G108" s="211"/>
      <c r="H108" s="211"/>
      <c r="I108" s="211"/>
    </row>
    <row r="109" spans="1:10" s="283" customFormat="1" ht="26.25" customHeight="1">
      <c r="A109" s="212" t="s">
        <v>22</v>
      </c>
      <c r="B109" s="533" t="s">
        <v>306</v>
      </c>
      <c r="C109" s="533"/>
      <c r="D109" s="533"/>
      <c r="E109" s="533"/>
      <c r="F109" s="533"/>
      <c r="G109" s="533"/>
      <c r="H109" s="533"/>
      <c r="I109" s="533"/>
      <c r="J109" s="349"/>
    </row>
    <row r="110" spans="1:10" s="283" customFormat="1" ht="53.25" customHeight="1">
      <c r="A110" s="212" t="s">
        <v>28</v>
      </c>
      <c r="B110" s="533" t="s">
        <v>307</v>
      </c>
      <c r="C110" s="533"/>
      <c r="D110" s="533"/>
      <c r="E110" s="533"/>
      <c r="F110" s="533"/>
      <c r="G110" s="533"/>
      <c r="H110" s="533"/>
      <c r="I110" s="533"/>
      <c r="J110" s="349"/>
    </row>
    <row r="111" spans="1:10" s="283" customFormat="1" ht="12.75"/>
    <row r="112" spans="1:10" s="283" customFormat="1" ht="12.75">
      <c r="B112" s="549" t="s">
        <v>322</v>
      </c>
      <c r="C112" s="549"/>
      <c r="D112" s="549"/>
      <c r="E112" s="549"/>
      <c r="F112" s="549"/>
      <c r="G112" s="549"/>
      <c r="H112" s="549"/>
      <c r="I112" s="549"/>
      <c r="J112" s="549"/>
    </row>
    <row r="113" spans="1:12" s="283" customFormat="1" ht="12.75"/>
    <row r="114" spans="1:12">
      <c r="A114" s="10"/>
      <c r="B114" s="10"/>
      <c r="C114" s="198"/>
      <c r="D114" s="218"/>
      <c r="E114" s="218"/>
      <c r="F114" s="218"/>
      <c r="G114" s="218"/>
      <c r="H114" s="236"/>
      <c r="I114" s="10"/>
    </row>
    <row r="115" spans="1:12" s="283" customFormat="1" ht="12.75">
      <c r="A115" s="547" t="s">
        <v>31</v>
      </c>
      <c r="B115" s="547"/>
      <c r="C115" s="547"/>
      <c r="D115" s="547"/>
      <c r="E115" s="547"/>
      <c r="F115" s="547"/>
      <c r="G115" s="547"/>
      <c r="H115" s="547"/>
      <c r="I115" s="547"/>
      <c r="J115" s="547"/>
      <c r="K115" s="281"/>
      <c r="L115" s="281"/>
    </row>
    <row r="116" spans="1:12" s="283" customFormat="1" ht="12.75">
      <c r="A116" s="547" t="s">
        <v>297</v>
      </c>
      <c r="B116" s="547"/>
      <c r="C116" s="547"/>
      <c r="D116" s="547"/>
      <c r="E116" s="547"/>
      <c r="F116" s="547"/>
      <c r="G116" s="547"/>
      <c r="H116" s="547"/>
      <c r="I116" s="547"/>
      <c r="J116" s="547"/>
      <c r="K116" s="281"/>
      <c r="L116" s="281"/>
    </row>
    <row r="117" spans="1:12" s="283" customFormat="1" ht="12.75">
      <c r="A117" s="547" t="s">
        <v>298</v>
      </c>
      <c r="B117" s="547"/>
      <c r="C117" s="547"/>
      <c r="D117" s="547"/>
      <c r="E117" s="547"/>
      <c r="F117" s="547"/>
      <c r="G117" s="547"/>
      <c r="H117" s="547"/>
      <c r="I117" s="547"/>
      <c r="J117" s="547"/>
      <c r="K117" s="281"/>
      <c r="L117" s="281"/>
    </row>
    <row r="118" spans="1:12" s="283" customFormat="1" ht="12.75">
      <c r="A118" s="281"/>
      <c r="B118" s="281"/>
      <c r="C118" s="281"/>
      <c r="D118" s="281"/>
      <c r="E118" s="281"/>
      <c r="F118" s="281"/>
      <c r="G118" s="281"/>
      <c r="H118" s="281"/>
      <c r="I118" s="281"/>
      <c r="J118" s="281"/>
      <c r="K118" s="281"/>
      <c r="L118" s="281"/>
    </row>
    <row r="119" spans="1:12" s="283" customFormat="1" ht="12.75"/>
    <row r="120" spans="1:12" s="283" customFormat="1" ht="12.75">
      <c r="A120" s="548" t="s">
        <v>353</v>
      </c>
      <c r="B120" s="548"/>
      <c r="C120" s="548"/>
      <c r="D120" s="548"/>
      <c r="E120" s="548"/>
      <c r="F120" s="548"/>
      <c r="G120" s="548"/>
      <c r="H120" s="548"/>
      <c r="I120" s="548"/>
    </row>
    <row r="121" spans="1:12" s="283" customFormat="1" ht="12.75"/>
    <row r="122" spans="1:12" s="283" customFormat="1" ht="12.75">
      <c r="C122" s="285" t="s">
        <v>218</v>
      </c>
      <c r="D122" s="546"/>
      <c r="E122" s="546"/>
      <c r="F122" s="546"/>
      <c r="G122" s="546"/>
      <c r="H122" s="546"/>
      <c r="I122" s="546"/>
    </row>
    <row r="123" spans="1:12" s="283" customFormat="1" ht="12.75">
      <c r="C123" s="38" t="s">
        <v>8</v>
      </c>
      <c r="D123" s="100">
        <v>15</v>
      </c>
      <c r="E123" s="100">
        <v>27</v>
      </c>
      <c r="F123" s="100">
        <v>39</v>
      </c>
      <c r="G123" s="100">
        <v>51</v>
      </c>
      <c r="H123" s="100">
        <v>63</v>
      </c>
      <c r="I123" s="100">
        <v>75</v>
      </c>
    </row>
    <row r="124" spans="1:12" s="283" customFormat="1" ht="4.5" customHeight="1"/>
    <row r="125" spans="1:12" s="283" customFormat="1" ht="12.75">
      <c r="C125" s="285">
        <v>2010</v>
      </c>
      <c r="D125" s="211"/>
      <c r="E125" s="211"/>
      <c r="F125" s="211"/>
      <c r="G125" s="211"/>
      <c r="H125" s="211"/>
      <c r="I125" s="433">
        <v>18679.041002831582</v>
      </c>
    </row>
    <row r="126" spans="1:12" s="283" customFormat="1" ht="12.75">
      <c r="C126" s="285">
        <v>2011</v>
      </c>
      <c r="D126" s="211"/>
      <c r="E126" s="211"/>
      <c r="F126" s="211"/>
      <c r="G126" s="211"/>
      <c r="H126" s="218">
        <f>+IF(H85&lt;H48,INDEX(LOGEST(H100:H100,H48),2)*EXP((INDEX(LOGEST(H100:H100,H48),1)-1)*H85),INDEX(LOGEST(H100:I100,H48:I48),2)*EXP((INDEX(LOGEST(H100:I100,H48:I48),1)-1)*H85))</f>
        <v>17019.955780511656</v>
      </c>
      <c r="I126" s="433">
        <v>18317.646337612019</v>
      </c>
    </row>
    <row r="127" spans="1:12" s="283" customFormat="1" ht="12.75">
      <c r="C127" s="285">
        <v>2012</v>
      </c>
      <c r="D127" s="211"/>
      <c r="E127" s="211"/>
      <c r="F127" s="211"/>
      <c r="G127" s="218">
        <f>+IF(G86&lt;G49,INDEX(LOGEST(G101:G101,G49),2)*EXP((INDEX(LOGEST(G101:G101,G49),1)-1)*G86),INDEX(LOGEST(G101:H101,G49:H49),2)*EXP((INDEX(LOGEST(G101:H101,G49:H49),1)-1)*G86))</f>
        <v>15007.167406475681</v>
      </c>
      <c r="H127" s="218">
        <f>+IF(H86&lt;H49,INDEX(LOGEST(H101:H101,H49),2)*EXP((INDEX(LOGEST(H101:H101,H49),1)-1)*H86),INDEX(LOGEST(H101:I101,H49:I49),2)*EXP((INDEX(LOGEST(H101:I101,H49:I49),1)-1)*H86))</f>
        <v>16645.547281614712</v>
      </c>
      <c r="I127" s="433">
        <v>17875.578588826131</v>
      </c>
    </row>
    <row r="128" spans="1:12" s="283" customFormat="1" ht="12.75">
      <c r="C128" s="285">
        <v>2013</v>
      </c>
      <c r="D128" s="211"/>
      <c r="E128" s="211"/>
      <c r="F128" s="218">
        <f>+IF(F87&lt;F50,INDEX(LOGEST(F102:F102,F50),2)*EXP((INDEX(LOGEST(F102:F102,F50),1)-1)*F87),INDEX(LOGEST(F102:G102,F50:G50),2)*EXP((INDEX(LOGEST(F102:G102,F50:G50),1)-1)*F87))</f>
        <v>12287.511674769828</v>
      </c>
      <c r="G128" s="218">
        <f>+IF(G87&lt;G50,INDEX(LOGEST(G102:G102,G50),2)*EXP((INDEX(LOGEST(G102:G102,G50),1)-1)*G87),INDEX(LOGEST(G102:H102,G50:H50),2)*EXP((INDEX(LOGEST(G102:H102,G50:H50),1)-1)*G87))</f>
        <v>14767.92941116136</v>
      </c>
      <c r="H128" s="218">
        <f>+IF(H87&lt;H50,INDEX(LOGEST(H102:H102,H50),2)*EXP((INDEX(LOGEST(H102:H102,H50),1)-1)*H87),INDEX(LOGEST(H102:I102,H50:I50),2)*EXP((INDEX(LOGEST(H102:I102,H50:I50),1)-1)*H87))</f>
        <v>16283.473327564367</v>
      </c>
      <c r="I128" s="218">
        <f>I102</f>
        <v>17421.206271050392</v>
      </c>
    </row>
    <row r="129" spans="1:9" s="283" customFormat="1" ht="12.75">
      <c r="C129" s="285">
        <v>2014</v>
      </c>
      <c r="D129" s="211"/>
      <c r="E129" s="218">
        <f>+IF(E88&lt;E51,INDEX(LOGEST(E103:E103,E51),2)*EXP((INDEX(LOGEST(E103:E103,E51),1)-1)*E88),INDEX(LOGEST(E103:F103,E51:F51),2)*EXP((INDEX(LOGEST(E103:F103,E51:F51),1)-1)*E88))</f>
        <v>8426.1086644305688</v>
      </c>
      <c r="F129" s="218">
        <f>+IF(F88&lt;F51,INDEX(LOGEST(F103:F103,F51),2)*EXP((INDEX(LOGEST(F103:F103,F51),1)-1)*F88),INDEX(LOGEST(F103:G103,F51:G51),2)*EXP((INDEX(LOGEST(F103:G103,F51:G51),1)-1)*F88))</f>
        <v>12613.777177383941</v>
      </c>
      <c r="G129" s="218">
        <f>+IF(G88&lt;G51,INDEX(LOGEST(G103:G103,G51),2)*EXP((INDEX(LOGEST(G103:G103,G51),1)-1)*G88),INDEX(LOGEST(G103:H103,G51:H51),2)*EXP((INDEX(LOGEST(G103:H103,G51:H51),1)-1)*G88))</f>
        <v>15204.94245539945</v>
      </c>
      <c r="H129" s="211">
        <f>H103</f>
        <v>16785.937250783543</v>
      </c>
      <c r="I129" s="211"/>
    </row>
    <row r="130" spans="1:9" s="283" customFormat="1" ht="12.75">
      <c r="C130" s="285">
        <v>2015</v>
      </c>
      <c r="D130" s="218">
        <f>+IF(D89&lt;D52,INDEX(LOGEST(D104:D104,D52),2)*EXP((INDEX(LOGEST(D104:D104,D52),1)-1)*D89),INDEX(LOGEST(D104:E104,D52:E52),2)*EXP((INDEX(LOGEST(D104:E104,D52:E52),1)-1)*D89))</f>
        <v>3573.3423607865998</v>
      </c>
      <c r="E130" s="218">
        <f>+IF(E89&lt;E52,INDEX(LOGEST(E104:E104,E52),2)*EXP((INDEX(LOGEST(E104:E104,E52),1)-1)*E89),INDEX(LOGEST(E104:F104,E52:F52),2)*EXP((INDEX(LOGEST(E104:F104,E52:F52),1)-1)*E89))</f>
        <v>8550.4819431197029</v>
      </c>
      <c r="F130" s="218">
        <f>+IF(F89&lt;F52,INDEX(LOGEST(F104:F104,F52),2)*EXP((INDEX(LOGEST(F104:F104,F52),1)-1)*F89),INDEX(LOGEST(F104:G104,F52:G52),2)*EXP((INDEX(LOGEST(F104:G104,F52:G52),1)-1)*F89))</f>
        <v>12608.205026693078</v>
      </c>
      <c r="G130" s="211">
        <f>G104</f>
        <v>15217.636444206619</v>
      </c>
      <c r="H130" s="211"/>
      <c r="I130" s="211"/>
    </row>
    <row r="131" spans="1:9" s="283" customFormat="1" ht="12.75">
      <c r="C131" s="285">
        <v>2016</v>
      </c>
      <c r="D131" s="218">
        <f>+IF(D90&lt;D53,INDEX(LOGEST(D105:D105,D53),2)*EXP((INDEX(LOGEST(D105:D105,D53),1)-1)*D90),INDEX(LOGEST(D105:E105,D53:E53),2)*EXP((INDEX(LOGEST(D105:E105,D53:E53),1)-1)*D90))</f>
        <v>3624.4293453050391</v>
      </c>
      <c r="E131" s="218">
        <f>+IF(E90&lt;E53,INDEX(LOGEST(E105:E105,E53),2)*EXP((INDEX(LOGEST(E105:E105,E53),1)-1)*E90),INDEX(LOGEST(E105:F105,E53:F53),2)*EXP((INDEX(LOGEST(E105:F105,E53:F53),1)-1)*E90))</f>
        <v>8287.0113664553901</v>
      </c>
      <c r="F131" s="211">
        <f>F105</f>
        <v>12016.991642793277</v>
      </c>
      <c r="G131" s="211"/>
      <c r="H131" s="211"/>
      <c r="I131" s="211"/>
    </row>
    <row r="132" spans="1:9" s="283" customFormat="1" ht="12.75">
      <c r="C132" s="285">
        <v>2017</v>
      </c>
      <c r="D132" s="218">
        <f>+IF(D91&lt;D54,INDEX(LOGEST(D106:D106,D54),2)*EXP((INDEX(LOGEST(D106:D106,D54),1)-1)*D91),INDEX(LOGEST(D106:E106,D54:E54),2)*EXP((INDEX(LOGEST(D106:E106,D54:E54),1)-1)*D91))</f>
        <v>3422.4420587611512</v>
      </c>
      <c r="E132" s="211">
        <f>E106</f>
        <v>7808.3441592219833</v>
      </c>
      <c r="F132" s="211"/>
      <c r="G132" s="211"/>
      <c r="H132" s="211"/>
      <c r="I132" s="211"/>
    </row>
    <row r="133" spans="1:9" s="283" customFormat="1" ht="12.75">
      <c r="C133" s="285">
        <v>2018</v>
      </c>
      <c r="D133" s="211">
        <f>D107</f>
        <v>3574.6759620853081</v>
      </c>
      <c r="E133" s="211"/>
      <c r="F133" s="211"/>
      <c r="G133" s="211"/>
      <c r="H133" s="211"/>
      <c r="I133" s="211"/>
    </row>
    <row r="134" spans="1:9" s="283" customFormat="1" ht="12.75">
      <c r="D134" s="211"/>
      <c r="E134" s="211"/>
      <c r="F134" s="211"/>
      <c r="G134" s="211"/>
      <c r="H134" s="211"/>
      <c r="I134" s="211"/>
    </row>
    <row r="135" spans="1:9" s="283" customFormat="1" ht="12.75">
      <c r="A135" s="548" t="s">
        <v>354</v>
      </c>
      <c r="B135" s="548"/>
      <c r="C135" s="548"/>
      <c r="D135" s="548"/>
      <c r="E135" s="548"/>
      <c r="F135" s="548"/>
      <c r="G135" s="548"/>
      <c r="H135" s="548"/>
      <c r="I135" s="548"/>
    </row>
    <row r="136" spans="1:9" s="283" customFormat="1" ht="12.75"/>
    <row r="137" spans="1:9" s="283" customFormat="1" ht="12.75">
      <c r="C137" s="285" t="s">
        <v>218</v>
      </c>
      <c r="D137" s="546"/>
      <c r="E137" s="546"/>
      <c r="F137" s="546"/>
      <c r="G137" s="546"/>
      <c r="H137" s="546"/>
      <c r="I137" s="546"/>
    </row>
    <row r="138" spans="1:9" s="283" customFormat="1" ht="12.75">
      <c r="C138" s="38" t="s">
        <v>8</v>
      </c>
      <c r="D138" s="100">
        <v>15</v>
      </c>
      <c r="E138" s="100">
        <v>27</v>
      </c>
      <c r="F138" s="100">
        <v>39</v>
      </c>
      <c r="G138" s="100">
        <v>51</v>
      </c>
      <c r="H138" s="100">
        <v>63</v>
      </c>
      <c r="I138" s="100">
        <v>75</v>
      </c>
    </row>
    <row r="139" spans="1:9" s="283" customFormat="1" ht="4.5" customHeight="1"/>
    <row r="140" spans="1:9" s="283" customFormat="1" ht="12.75">
      <c r="C140" s="285">
        <v>2010</v>
      </c>
      <c r="D140" s="211"/>
      <c r="E140" s="211"/>
      <c r="F140" s="211"/>
      <c r="G140" s="211"/>
      <c r="H140" s="211"/>
      <c r="I140" s="211">
        <f t="shared" ref="I140" si="14">I125*I84/1000</f>
        <v>1990475.6362575002</v>
      </c>
    </row>
    <row r="141" spans="1:9" s="283" customFormat="1" ht="12.75">
      <c r="C141" s="285">
        <v>2011</v>
      </c>
      <c r="D141" s="211"/>
      <c r="E141" s="211"/>
      <c r="F141" s="211"/>
      <c r="G141" s="211"/>
      <c r="H141" s="211">
        <f t="shared" ref="H141:I141" si="15">H126*H85/1000</f>
        <v>1755181.0282119368</v>
      </c>
      <c r="I141" s="211">
        <f t="shared" si="15"/>
        <v>1963769.8378066823</v>
      </c>
    </row>
    <row r="142" spans="1:9" s="283" customFormat="1" ht="12.75">
      <c r="C142" s="285">
        <v>2012</v>
      </c>
      <c r="D142" s="211"/>
      <c r="E142" s="211"/>
      <c r="F142" s="211"/>
      <c r="G142" s="211">
        <f t="shared" ref="G142:I142" si="16">G127*G86/1000</f>
        <v>1543429.6634981039</v>
      </c>
      <c r="H142" s="211">
        <f t="shared" si="16"/>
        <v>1815038.7160709763</v>
      </c>
      <c r="I142" s="211">
        <f t="shared" si="16"/>
        <v>2026307.4878951861</v>
      </c>
    </row>
    <row r="143" spans="1:9" s="283" customFormat="1" ht="12.75">
      <c r="C143" s="285">
        <v>2013</v>
      </c>
      <c r="D143" s="211"/>
      <c r="E143" s="211"/>
      <c r="F143" s="211">
        <f t="shared" ref="F143:H145" si="17">F128*F87/1000</f>
        <v>1206527.0114346307</v>
      </c>
      <c r="G143" s="211">
        <f t="shared" si="17"/>
        <v>1619111.6304888632</v>
      </c>
      <c r="H143" s="211">
        <f t="shared" si="17"/>
        <v>1892796.5282296625</v>
      </c>
      <c r="I143" s="211">
        <f>I128*I87/1000</f>
        <v>2105195.9870000007</v>
      </c>
    </row>
    <row r="144" spans="1:9" s="283" customFormat="1" ht="12.75">
      <c r="C144" s="285">
        <v>2014</v>
      </c>
      <c r="D144" s="211"/>
      <c r="E144" s="211">
        <f t="shared" ref="D144:E147" si="18">E129*E88/1000</f>
        <v>696191.9658711839</v>
      </c>
      <c r="F144" s="211">
        <f t="shared" si="17"/>
        <v>1298676.4021192957</v>
      </c>
      <c r="G144" s="211">
        <f t="shared" si="17"/>
        <v>1747932.486054905</v>
      </c>
      <c r="H144" s="211">
        <f>H129*H88/1000</f>
        <v>2045903.6039999998</v>
      </c>
      <c r="I144" s="211"/>
    </row>
    <row r="145" spans="1:9" s="283" customFormat="1" ht="12.75">
      <c r="C145" s="285">
        <v>2015</v>
      </c>
      <c r="D145" s="211">
        <f t="shared" si="18"/>
        <v>179913.9398077309</v>
      </c>
      <c r="E145" s="211">
        <f t="shared" si="18"/>
        <v>735006.38989385159</v>
      </c>
      <c r="F145" s="211">
        <f t="shared" si="17"/>
        <v>1350540.5412188214</v>
      </c>
      <c r="G145" s="211">
        <f>G130*G89/1000</f>
        <v>1820059.754</v>
      </c>
      <c r="H145" s="211"/>
      <c r="I145" s="211"/>
    </row>
    <row r="146" spans="1:9" s="283" customFormat="1" ht="12.75">
      <c r="C146" s="285">
        <v>2016</v>
      </c>
      <c r="D146" s="211">
        <f t="shared" si="18"/>
        <v>186728.1479705665</v>
      </c>
      <c r="E146" s="211">
        <f t="shared" si="18"/>
        <v>728917.57324248378</v>
      </c>
      <c r="F146" s="211">
        <f>F131*F90/1000</f>
        <v>1317134.3859999999</v>
      </c>
      <c r="G146" s="211"/>
      <c r="H146" s="211"/>
      <c r="I146" s="211"/>
    </row>
    <row r="147" spans="1:9" s="283" customFormat="1" ht="12.75">
      <c r="C147" s="285">
        <v>2017</v>
      </c>
      <c r="D147" s="211">
        <f t="shared" si="18"/>
        <v>177265.97960240717</v>
      </c>
      <c r="E147" s="211">
        <f>E132*E91/1000</f>
        <v>690491.87399999995</v>
      </c>
      <c r="F147" s="211"/>
      <c r="G147" s="211"/>
      <c r="H147" s="211"/>
      <c r="I147" s="211"/>
    </row>
    <row r="148" spans="1:9" s="283" customFormat="1" ht="12.75">
      <c r="C148" s="285">
        <v>2018</v>
      </c>
      <c r="D148" s="211">
        <f>D133*D92/1000</f>
        <v>188564.15700000001</v>
      </c>
      <c r="E148" s="211"/>
      <c r="F148" s="211"/>
      <c r="G148" s="211"/>
      <c r="H148" s="211"/>
      <c r="I148" s="211"/>
    </row>
    <row r="149" spans="1:9" s="283" customFormat="1" ht="12.75">
      <c r="D149" s="211"/>
      <c r="E149" s="211"/>
      <c r="F149" s="211"/>
      <c r="G149" s="211"/>
      <c r="H149" s="211"/>
      <c r="I149" s="211"/>
    </row>
    <row r="150" spans="1:9" s="283" customFormat="1" ht="12.75">
      <c r="A150" s="548" t="s">
        <v>308</v>
      </c>
      <c r="B150" s="548"/>
      <c r="C150" s="548"/>
      <c r="D150" s="548"/>
      <c r="E150" s="548"/>
      <c r="F150" s="548"/>
      <c r="G150" s="548"/>
      <c r="H150" s="548"/>
      <c r="I150" s="548"/>
    </row>
    <row r="151" spans="1:9" s="283" customFormat="1" ht="12.75"/>
    <row r="152" spans="1:9" s="283" customFormat="1" ht="12.75">
      <c r="C152" s="285" t="s">
        <v>218</v>
      </c>
      <c r="D152" s="546"/>
      <c r="E152" s="546"/>
      <c r="F152" s="546"/>
      <c r="G152" s="546"/>
      <c r="H152" s="546"/>
      <c r="I152" s="546"/>
    </row>
    <row r="153" spans="1:9" s="283" customFormat="1" ht="12.75">
      <c r="C153" s="38" t="s">
        <v>8</v>
      </c>
      <c r="D153" s="427">
        <v>15</v>
      </c>
      <c r="E153" s="427">
        <v>27</v>
      </c>
      <c r="F153" s="427">
        <v>39</v>
      </c>
      <c r="G153" s="427">
        <v>51</v>
      </c>
      <c r="H153" s="427">
        <v>63</v>
      </c>
      <c r="I153" s="427">
        <v>75</v>
      </c>
    </row>
    <row r="154" spans="1:9" s="283" customFormat="1" ht="4.5" customHeight="1">
      <c r="D154" s="409"/>
      <c r="E154" s="409"/>
      <c r="F154" s="409"/>
      <c r="G154" s="409"/>
      <c r="H154" s="409"/>
      <c r="I154" s="409"/>
    </row>
    <row r="155" spans="1:9" s="283" customFormat="1" ht="12.75">
      <c r="C155" s="285">
        <v>2010</v>
      </c>
      <c r="D155" s="433"/>
      <c r="E155" s="433"/>
      <c r="F155" s="433"/>
      <c r="G155" s="433"/>
      <c r="H155" s="433"/>
      <c r="I155" s="433">
        <v>586443.59900000005</v>
      </c>
    </row>
    <row r="156" spans="1:9" s="283" customFormat="1" ht="12.75">
      <c r="C156" s="285">
        <v>2011</v>
      </c>
      <c r="D156" s="433"/>
      <c r="E156" s="433"/>
      <c r="F156" s="433"/>
      <c r="G156" s="433"/>
      <c r="H156" s="433">
        <v>637689.27699999977</v>
      </c>
      <c r="I156" s="433">
        <v>521246.41999999975</v>
      </c>
    </row>
    <row r="157" spans="1:9" s="283" customFormat="1" ht="12.75">
      <c r="C157" s="285">
        <v>2012</v>
      </c>
      <c r="D157" s="433"/>
      <c r="E157" s="433"/>
      <c r="F157" s="433"/>
      <c r="G157" s="433">
        <v>748589.3339999998</v>
      </c>
      <c r="H157" s="433">
        <v>625289.04600000021</v>
      </c>
      <c r="I157" s="433">
        <v>499868.73700000026</v>
      </c>
    </row>
    <row r="158" spans="1:9" s="283" customFormat="1" ht="12.75">
      <c r="C158" s="285">
        <v>2013</v>
      </c>
      <c r="D158" s="433"/>
      <c r="E158" s="433"/>
      <c r="F158" s="433">
        <v>851808.42200000002</v>
      </c>
      <c r="G158" s="433">
        <v>743826.68599999999</v>
      </c>
      <c r="H158" s="433">
        <v>591414.49300000002</v>
      </c>
      <c r="I158" s="433">
        <v>460087.76899999997</v>
      </c>
    </row>
    <row r="159" spans="1:9" s="283" customFormat="1" ht="12.75">
      <c r="C159" s="285">
        <v>2014</v>
      </c>
      <c r="D159" s="433"/>
      <c r="E159" s="433">
        <v>815535.68299999996</v>
      </c>
      <c r="F159" s="433">
        <v>891809.62599999981</v>
      </c>
      <c r="G159" s="433">
        <v>751073.62800000003</v>
      </c>
      <c r="H159" s="433">
        <v>588447.51500000001</v>
      </c>
      <c r="I159" s="433"/>
    </row>
    <row r="160" spans="1:9" s="283" customFormat="1" ht="12.75">
      <c r="C160" s="285">
        <v>2015</v>
      </c>
      <c r="D160" s="433">
        <v>447077.391</v>
      </c>
      <c r="E160" s="433">
        <v>852236.73899999994</v>
      </c>
      <c r="F160" s="433">
        <v>879870.63600000006</v>
      </c>
      <c r="G160" s="433">
        <v>713229.81700000004</v>
      </c>
      <c r="H160" s="433"/>
      <c r="I160" s="433"/>
    </row>
    <row r="161" spans="1:32" s="283" customFormat="1" ht="12.75">
      <c r="C161" s="285">
        <v>2016</v>
      </c>
      <c r="D161" s="433">
        <v>460081.56900000002</v>
      </c>
      <c r="E161" s="433">
        <v>827152.15700000001</v>
      </c>
      <c r="F161" s="433">
        <v>831764.97499999998</v>
      </c>
      <c r="G161" s="433"/>
      <c r="H161" s="433"/>
      <c r="I161" s="433"/>
    </row>
    <row r="162" spans="1:32" s="283" customFormat="1" ht="12.75">
      <c r="C162" s="285">
        <v>2017</v>
      </c>
      <c r="D162" s="433">
        <v>463035.26699999999</v>
      </c>
      <c r="E162" s="433">
        <v>823281.01599999995</v>
      </c>
      <c r="F162" s="433"/>
      <c r="G162" s="433"/>
      <c r="H162" s="433"/>
      <c r="I162" s="433"/>
    </row>
    <row r="163" spans="1:32" s="283" customFormat="1" ht="12.75">
      <c r="C163" s="285">
        <v>2018</v>
      </c>
      <c r="D163" s="433">
        <v>494160.81599999999</v>
      </c>
      <c r="E163" s="433"/>
      <c r="F163" s="433"/>
      <c r="G163" s="433"/>
      <c r="H163" s="433"/>
      <c r="I163" s="433"/>
    </row>
    <row r="164" spans="1:32" s="283" customFormat="1" ht="12.75">
      <c r="C164" s="285"/>
      <c r="D164" s="211"/>
      <c r="E164" s="211"/>
      <c r="F164" s="211"/>
      <c r="G164" s="211"/>
      <c r="H164" s="211"/>
      <c r="I164" s="211"/>
    </row>
    <row r="165" spans="1:32" s="283" customFormat="1" ht="26.25" customHeight="1">
      <c r="A165" s="212" t="s">
        <v>40</v>
      </c>
      <c r="B165" s="552" t="s">
        <v>309</v>
      </c>
      <c r="C165" s="552"/>
      <c r="D165" s="552"/>
      <c r="E165" s="552"/>
      <c r="F165" s="552"/>
      <c r="G165" s="552"/>
      <c r="H165" s="552"/>
      <c r="I165" s="552"/>
      <c r="J165" s="350"/>
    </row>
    <row r="166" spans="1:32" s="283" customFormat="1" ht="24.75" customHeight="1">
      <c r="A166" s="212" t="s">
        <v>66</v>
      </c>
      <c r="B166" s="553" t="s">
        <v>310</v>
      </c>
      <c r="C166" s="553"/>
      <c r="D166" s="553"/>
      <c r="E166" s="553"/>
      <c r="F166" s="553"/>
      <c r="G166" s="553"/>
      <c r="H166" s="553"/>
      <c r="I166" s="553"/>
    </row>
    <row r="167" spans="1:32" s="283" customFormat="1" ht="12.75">
      <c r="B167" s="549"/>
      <c r="C167" s="549"/>
      <c r="D167" s="549"/>
      <c r="E167" s="549"/>
      <c r="F167" s="549"/>
      <c r="G167" s="549"/>
      <c r="H167" s="549"/>
      <c r="I167" s="549"/>
    </row>
    <row r="168" spans="1:32" s="283" customFormat="1" ht="12.75">
      <c r="B168" s="549" t="s">
        <v>322</v>
      </c>
      <c r="C168" s="549"/>
      <c r="D168" s="549"/>
      <c r="E168" s="549"/>
      <c r="F168" s="549"/>
      <c r="G168" s="549"/>
      <c r="H168" s="549"/>
      <c r="I168" s="549"/>
    </row>
    <row r="169" spans="1:32" s="287" customFormat="1">
      <c r="A169" s="324"/>
      <c r="B169" s="324"/>
      <c r="C169" s="324"/>
      <c r="D169" s="324"/>
      <c r="E169" s="324"/>
      <c r="F169" s="324"/>
      <c r="G169" s="324"/>
      <c r="H169" s="324"/>
      <c r="I169" s="324"/>
      <c r="K169" s="140"/>
      <c r="L169" s="140"/>
      <c r="M169" s="140"/>
      <c r="N169" s="140"/>
      <c r="O169" s="140"/>
      <c r="P169" s="140"/>
      <c r="Q169" s="140"/>
      <c r="R169" s="140"/>
      <c r="S169" s="140"/>
      <c r="T169" s="140"/>
      <c r="U169" s="140"/>
      <c r="V169" s="140"/>
      <c r="W169" s="140"/>
      <c r="X169" s="140"/>
      <c r="Y169" s="140"/>
      <c r="Z169" s="140"/>
      <c r="AA169" s="140"/>
      <c r="AB169" s="140"/>
      <c r="AC169" s="140"/>
      <c r="AD169" s="140"/>
      <c r="AE169" s="140"/>
      <c r="AF169" s="140"/>
    </row>
    <row r="170" spans="1:32" s="287" customFormat="1">
      <c r="A170" s="83"/>
      <c r="B170" s="83"/>
      <c r="C170" s="83"/>
      <c r="D170" s="83"/>
      <c r="E170" s="83"/>
      <c r="F170" s="83"/>
      <c r="G170" s="83"/>
      <c r="H170" s="83"/>
      <c r="I170" s="83"/>
      <c r="K170" s="140"/>
      <c r="L170" s="140"/>
      <c r="M170" s="140"/>
      <c r="N170" s="140"/>
      <c r="O170" s="140"/>
      <c r="P170" s="140"/>
      <c r="Q170" s="140"/>
      <c r="R170" s="140"/>
      <c r="S170" s="140"/>
      <c r="T170" s="140"/>
      <c r="U170" s="140"/>
      <c r="V170" s="140"/>
      <c r="W170" s="140"/>
      <c r="X170" s="140"/>
      <c r="Y170" s="140"/>
      <c r="Z170" s="140"/>
      <c r="AA170" s="140"/>
      <c r="AB170" s="140"/>
      <c r="AC170" s="140"/>
      <c r="AD170" s="140"/>
      <c r="AE170" s="140"/>
      <c r="AF170" s="140"/>
    </row>
    <row r="171" spans="1:32" s="283" customFormat="1" ht="12.75">
      <c r="A171" s="547" t="s">
        <v>31</v>
      </c>
      <c r="B171" s="547"/>
      <c r="C171" s="547"/>
      <c r="D171" s="547"/>
      <c r="E171" s="547"/>
      <c r="F171" s="547"/>
      <c r="G171" s="547"/>
      <c r="H171" s="547"/>
      <c r="I171" s="547"/>
      <c r="J171" s="547"/>
      <c r="K171" s="281"/>
    </row>
    <row r="172" spans="1:32" s="283" customFormat="1" ht="12.75">
      <c r="A172" s="547" t="s">
        <v>297</v>
      </c>
      <c r="B172" s="547"/>
      <c r="C172" s="547"/>
      <c r="D172" s="547"/>
      <c r="E172" s="547"/>
      <c r="F172" s="547"/>
      <c r="G172" s="547"/>
      <c r="H172" s="547"/>
      <c r="I172" s="547"/>
      <c r="J172" s="547"/>
      <c r="K172" s="281"/>
    </row>
    <row r="173" spans="1:32" s="283" customFormat="1" ht="12.75">
      <c r="A173" s="547" t="s">
        <v>298</v>
      </c>
      <c r="B173" s="547"/>
      <c r="C173" s="547"/>
      <c r="D173" s="547"/>
      <c r="E173" s="547"/>
      <c r="F173" s="547"/>
      <c r="G173" s="547"/>
      <c r="H173" s="547"/>
      <c r="I173" s="547"/>
      <c r="J173" s="547"/>
      <c r="K173" s="281"/>
    </row>
    <row r="174" spans="1:32" s="283" customFormat="1" ht="12.75">
      <c r="A174" s="281"/>
      <c r="B174" s="281"/>
      <c r="C174" s="281"/>
      <c r="D174" s="281"/>
      <c r="E174" s="281"/>
      <c r="F174" s="281"/>
      <c r="G174" s="281"/>
      <c r="H174" s="281"/>
      <c r="I174" s="281"/>
      <c r="J174" s="281"/>
      <c r="K174" s="281"/>
    </row>
    <row r="175" spans="1:32" s="283" customFormat="1" ht="12.75"/>
    <row r="176" spans="1:32" s="283" customFormat="1" ht="12.75">
      <c r="A176" s="548" t="s">
        <v>355</v>
      </c>
      <c r="B176" s="548"/>
      <c r="C176" s="548"/>
      <c r="D176" s="548"/>
      <c r="E176" s="548"/>
      <c r="F176" s="548"/>
      <c r="G176" s="548"/>
      <c r="H176" s="548"/>
      <c r="I176" s="548"/>
      <c r="J176" s="548"/>
    </row>
    <row r="177" spans="1:10" s="283" customFormat="1" ht="12.75"/>
    <row r="178" spans="1:10" s="283" customFormat="1" ht="12.75">
      <c r="C178" s="285" t="s">
        <v>218</v>
      </c>
      <c r="D178" s="546"/>
      <c r="E178" s="546"/>
      <c r="F178" s="546"/>
      <c r="G178" s="546"/>
      <c r="H178" s="546"/>
      <c r="I178" s="546"/>
    </row>
    <row r="179" spans="1:10" s="283" customFormat="1" ht="12.75">
      <c r="C179" s="38" t="s">
        <v>8</v>
      </c>
      <c r="D179" s="427">
        <v>15</v>
      </c>
      <c r="E179" s="427">
        <v>27</v>
      </c>
      <c r="F179" s="427">
        <v>39</v>
      </c>
      <c r="G179" s="427">
        <v>51</v>
      </c>
      <c r="H179" s="427">
        <v>63</v>
      </c>
      <c r="I179" s="427">
        <v>75</v>
      </c>
    </row>
    <row r="180" spans="1:10" s="283" customFormat="1" ht="4.5" customHeight="1">
      <c r="D180" s="409"/>
      <c r="E180" s="409"/>
      <c r="F180" s="409"/>
      <c r="G180" s="409"/>
      <c r="H180" s="409"/>
      <c r="I180" s="409"/>
    </row>
    <row r="181" spans="1:10" s="283" customFormat="1" ht="12.75">
      <c r="C181" s="285">
        <v>2010</v>
      </c>
      <c r="D181" s="428"/>
      <c r="E181" s="428"/>
      <c r="F181" s="428"/>
      <c r="G181" s="428"/>
      <c r="H181" s="428"/>
      <c r="I181" s="428">
        <v>39067.590367064236</v>
      </c>
    </row>
    <row r="182" spans="1:10" s="283" customFormat="1" ht="12.75">
      <c r="C182" s="285">
        <v>2011</v>
      </c>
      <c r="D182" s="428"/>
      <c r="E182" s="428"/>
      <c r="F182" s="428"/>
      <c r="G182" s="428"/>
      <c r="H182" s="428">
        <v>32283.160886953861</v>
      </c>
      <c r="I182" s="428">
        <v>37440.48412584397</v>
      </c>
    </row>
    <row r="183" spans="1:10" s="283" customFormat="1" ht="12.75">
      <c r="C183" s="285">
        <v>2012</v>
      </c>
      <c r="D183" s="428"/>
      <c r="E183" s="428"/>
      <c r="F183" s="428"/>
      <c r="G183" s="428">
        <v>26451.919929328644</v>
      </c>
      <c r="H183" s="428">
        <v>32287.981307446094</v>
      </c>
      <c r="I183" s="428">
        <v>37768.699433320806</v>
      </c>
    </row>
    <row r="184" spans="1:10" s="283" customFormat="1" ht="12.75">
      <c r="C184" s="285">
        <v>2013</v>
      </c>
      <c r="D184" s="428"/>
      <c r="E184" s="428"/>
      <c r="F184" s="428">
        <v>20129.700869647408</v>
      </c>
      <c r="G184" s="428">
        <v>26674.79598350366</v>
      </c>
      <c r="H184" s="428">
        <v>32300.081540141975</v>
      </c>
      <c r="I184" s="428">
        <v>37536.735661254788</v>
      </c>
    </row>
    <row r="185" spans="1:10" s="283" customFormat="1" ht="12.75">
      <c r="C185" s="285">
        <v>2014</v>
      </c>
      <c r="D185" s="428"/>
      <c r="E185" s="428">
        <v>13003.423043194029</v>
      </c>
      <c r="F185" s="428">
        <v>21003.523928403196</v>
      </c>
      <c r="G185" s="428">
        <v>27735.36292466765</v>
      </c>
      <c r="H185" s="428">
        <v>33654.418930511863</v>
      </c>
      <c r="I185" s="428"/>
    </row>
    <row r="186" spans="1:10" s="283" customFormat="1" ht="12.75">
      <c r="C186" s="285">
        <v>2015</v>
      </c>
      <c r="D186" s="428">
        <v>5262.0864739530625</v>
      </c>
      <c r="E186" s="428">
        <v>13451.767642648567</v>
      </c>
      <c r="F186" s="428">
        <v>21693.597869769976</v>
      </c>
      <c r="G186" s="428">
        <v>28662.185219418101</v>
      </c>
      <c r="H186" s="428"/>
      <c r="I186" s="428"/>
    </row>
    <row r="187" spans="1:10" s="283" customFormat="1" ht="12.75">
      <c r="C187" s="285">
        <v>2016</v>
      </c>
      <c r="D187" s="428">
        <v>5461.0384697559584</v>
      </c>
      <c r="E187" s="428">
        <v>13639.922116684806</v>
      </c>
      <c r="F187" s="428">
        <v>22152.044716096727</v>
      </c>
      <c r="G187" s="428"/>
      <c r="H187" s="428"/>
      <c r="I187" s="428"/>
    </row>
    <row r="188" spans="1:10" s="283" customFormat="1" ht="12.75">
      <c r="C188" s="285">
        <v>2017</v>
      </c>
      <c r="D188" s="428">
        <v>5608.0622411161976</v>
      </c>
      <c r="E188" s="428">
        <v>14516.619046779395</v>
      </c>
      <c r="F188" s="428"/>
      <c r="G188" s="428"/>
      <c r="H188" s="428"/>
      <c r="I188" s="428"/>
    </row>
    <row r="189" spans="1:10" s="283" customFormat="1" ht="12.75">
      <c r="C189" s="285">
        <v>2018</v>
      </c>
      <c r="D189" s="428">
        <v>5946.6517767963505</v>
      </c>
      <c r="E189" s="428"/>
      <c r="F189" s="428"/>
      <c r="G189" s="428"/>
      <c r="H189" s="428"/>
      <c r="I189" s="428"/>
    </row>
    <row r="190" spans="1:10" s="283" customFormat="1" ht="12.75">
      <c r="D190" s="96"/>
      <c r="E190" s="96"/>
      <c r="F190" s="96"/>
      <c r="G190" s="96"/>
      <c r="H190" s="96"/>
      <c r="I190" s="96"/>
    </row>
    <row r="191" spans="1:10" s="283" customFormat="1" ht="12.75">
      <c r="A191" s="548" t="s">
        <v>311</v>
      </c>
      <c r="B191" s="548"/>
      <c r="C191" s="548"/>
      <c r="D191" s="548"/>
      <c r="E191" s="548"/>
      <c r="F191" s="548"/>
      <c r="G191" s="548"/>
      <c r="H191" s="548"/>
      <c r="I191" s="548"/>
      <c r="J191" s="548"/>
    </row>
    <row r="192" spans="1:10" s="283" customFormat="1" ht="12.75">
      <c r="A192" s="549" t="s">
        <v>356</v>
      </c>
      <c r="B192" s="549"/>
      <c r="C192" s="549"/>
      <c r="D192" s="549"/>
      <c r="E192" s="549"/>
      <c r="F192" s="549"/>
      <c r="G192" s="549"/>
      <c r="H192" s="549"/>
      <c r="I192" s="549"/>
      <c r="J192" s="549"/>
    </row>
    <row r="193" spans="1:9" s="283" customFormat="1" ht="12.75"/>
    <row r="194" spans="1:9" s="283" customFormat="1" ht="12.75">
      <c r="C194" s="285" t="s">
        <v>218</v>
      </c>
      <c r="D194" s="546"/>
      <c r="E194" s="546"/>
      <c r="F194" s="546"/>
      <c r="G194" s="546"/>
      <c r="H194" s="546"/>
      <c r="I194" s="546"/>
    </row>
    <row r="195" spans="1:9" s="283" customFormat="1" ht="12.75">
      <c r="C195" s="38" t="s">
        <v>8</v>
      </c>
      <c r="D195" s="100">
        <v>15</v>
      </c>
      <c r="E195" s="100">
        <v>27</v>
      </c>
      <c r="F195" s="100">
        <v>39</v>
      </c>
      <c r="G195" s="100">
        <v>51</v>
      </c>
      <c r="H195" s="100">
        <v>63</v>
      </c>
      <c r="I195" s="100">
        <v>75</v>
      </c>
    </row>
    <row r="196" spans="1:9" s="283" customFormat="1" ht="4.5" customHeight="1"/>
    <row r="197" spans="1:9" s="283" customFormat="1" ht="12.75">
      <c r="C197" s="285">
        <v>2010</v>
      </c>
      <c r="D197" s="96"/>
      <c r="E197" s="96"/>
      <c r="F197" s="96"/>
      <c r="G197" s="96"/>
      <c r="H197" s="96"/>
      <c r="I197" s="96">
        <f t="shared" ref="D197:I203" si="19">I181*R84/1000</f>
        <v>-168498.51725314805</v>
      </c>
    </row>
    <row r="198" spans="1:9" s="283" customFormat="1" ht="12.75">
      <c r="C198" s="285">
        <v>2011</v>
      </c>
      <c r="D198" s="96"/>
      <c r="E198" s="96"/>
      <c r="F198" s="96"/>
      <c r="G198" s="96"/>
      <c r="H198" s="96">
        <f t="shared" si="19"/>
        <v>-163385.07724887351</v>
      </c>
      <c r="I198" s="96">
        <f t="shared" si="19"/>
        <v>-114904.84578221515</v>
      </c>
    </row>
    <row r="199" spans="1:9" s="283" customFormat="1" ht="12.75">
      <c r="C199" s="285">
        <v>2012</v>
      </c>
      <c r="D199" s="96"/>
      <c r="E199" s="96"/>
      <c r="F199" s="96"/>
      <c r="G199" s="96">
        <f t="shared" si="19"/>
        <v>-189342.84285413445</v>
      </c>
      <c r="H199" s="96">
        <f t="shared" si="19"/>
        <v>-124405.59197758981</v>
      </c>
      <c r="I199" s="96">
        <f>I183*R86/1000</f>
        <v>-65604.230915678243</v>
      </c>
    </row>
    <row r="200" spans="1:9" s="283" customFormat="1" ht="12.75">
      <c r="C200" s="285">
        <v>2013</v>
      </c>
      <c r="D200" s="96"/>
      <c r="E200" s="96"/>
      <c r="F200" s="96">
        <f t="shared" si="19"/>
        <v>-183361.44522161823</v>
      </c>
      <c r="G200" s="96">
        <f t="shared" si="19"/>
        <v>-137375.19931504384</v>
      </c>
      <c r="H200" s="96">
        <f>H184*Q87/1000</f>
        <v>-52778.333236591985</v>
      </c>
      <c r="I200" s="96"/>
    </row>
    <row r="201" spans="1:9" s="283" customFormat="1" ht="12.75">
      <c r="C201" s="285">
        <v>2014</v>
      </c>
      <c r="D201" s="96"/>
      <c r="E201" s="96">
        <f t="shared" si="19"/>
        <v>-132179.79523406731</v>
      </c>
      <c r="F201" s="96">
        <f t="shared" si="19"/>
        <v>-160445.91928907202</v>
      </c>
      <c r="G201" s="96">
        <f>G185*P88/1000</f>
        <v>-87699.217567799104</v>
      </c>
      <c r="H201" s="96"/>
      <c r="I201" s="96"/>
    </row>
    <row r="202" spans="1:9" s="283" customFormat="1" ht="12.75">
      <c r="C202" s="285">
        <v>2015</v>
      </c>
      <c r="D202" s="96">
        <f t="shared" si="19"/>
        <v>-34614.004825663244</v>
      </c>
      <c r="E202" s="96">
        <f t="shared" si="19"/>
        <v>-104520.23458337935</v>
      </c>
      <c r="F202" s="96">
        <f>F186*O89/1000</f>
        <v>-83824.062168791192</v>
      </c>
      <c r="G202" s="96"/>
      <c r="H202" s="96"/>
      <c r="I202" s="96"/>
    </row>
    <row r="203" spans="1:9" s="283" customFormat="1" ht="12.75">
      <c r="C203" s="285">
        <v>2016</v>
      </c>
      <c r="D203" s="96">
        <f t="shared" si="19"/>
        <v>-25098.932806998382</v>
      </c>
      <c r="E203" s="96">
        <f>E187*N90/1000</f>
        <v>-57710.510475693409</v>
      </c>
      <c r="F203" s="96"/>
      <c r="G203" s="96"/>
      <c r="H203" s="96"/>
      <c r="I203" s="96"/>
    </row>
    <row r="204" spans="1:9" s="283" customFormat="1" ht="12.75">
      <c r="C204" s="285">
        <v>2017</v>
      </c>
      <c r="D204" s="96">
        <f>D188*M91/1000</f>
        <v>-5445.4284361238279</v>
      </c>
      <c r="E204" s="96"/>
      <c r="F204" s="96"/>
      <c r="G204" s="96"/>
      <c r="H204" s="96"/>
      <c r="I204" s="96"/>
    </row>
    <row r="205" spans="1:9" s="283" customFormat="1" ht="12.75">
      <c r="C205" s="285"/>
      <c r="E205" s="213"/>
      <c r="H205" s="214"/>
    </row>
    <row r="206" spans="1:9" s="283" customFormat="1" ht="12.75">
      <c r="A206" s="548" t="s">
        <v>357</v>
      </c>
      <c r="B206" s="548"/>
      <c r="C206" s="548"/>
      <c r="D206" s="548"/>
      <c r="E206" s="548"/>
      <c r="F206" s="548"/>
      <c r="G206" s="548"/>
      <c r="H206" s="548"/>
      <c r="I206" s="548"/>
    </row>
    <row r="207" spans="1:9" s="283" customFormat="1" ht="12.75"/>
    <row r="208" spans="1:9" s="283" customFormat="1" ht="12.75">
      <c r="C208" s="285" t="s">
        <v>218</v>
      </c>
      <c r="D208" s="546"/>
      <c r="E208" s="546"/>
      <c r="F208" s="546"/>
      <c r="G208" s="546"/>
      <c r="H208" s="546"/>
      <c r="I208" s="546"/>
    </row>
    <row r="209" spans="1:10" s="283" customFormat="1" ht="12.75">
      <c r="C209" s="38" t="s">
        <v>8</v>
      </c>
      <c r="D209" s="100">
        <v>15</v>
      </c>
      <c r="E209" s="100">
        <v>27</v>
      </c>
      <c r="F209" s="100">
        <v>39</v>
      </c>
      <c r="G209" s="100">
        <v>51</v>
      </c>
      <c r="H209" s="100">
        <v>63</v>
      </c>
      <c r="I209" s="100">
        <v>75</v>
      </c>
    </row>
    <row r="210" spans="1:10" s="283" customFormat="1" ht="4.5" customHeight="1"/>
    <row r="211" spans="1:10" s="283" customFormat="1" ht="12.75">
      <c r="C211" s="285">
        <v>2010</v>
      </c>
      <c r="D211" s="96"/>
      <c r="E211" s="96"/>
      <c r="F211" s="96"/>
      <c r="G211" s="96"/>
      <c r="H211" s="96"/>
      <c r="I211" s="96">
        <f t="shared" ref="I211" si="20">I197+I155</f>
        <v>417945.08174685203</v>
      </c>
    </row>
    <row r="212" spans="1:10" s="283" customFormat="1" ht="12.75">
      <c r="C212" s="285">
        <v>2011</v>
      </c>
      <c r="D212" s="96"/>
      <c r="E212" s="96"/>
      <c r="F212" s="96"/>
      <c r="G212" s="96"/>
      <c r="H212" s="96">
        <f t="shared" ref="H212:I212" si="21">H198+H156</f>
        <v>474304.19975112623</v>
      </c>
      <c r="I212" s="96">
        <f t="shared" si="21"/>
        <v>406341.57421778457</v>
      </c>
    </row>
    <row r="213" spans="1:10" s="283" customFormat="1" ht="12.75">
      <c r="C213" s="285">
        <v>2012</v>
      </c>
      <c r="D213" s="96"/>
      <c r="E213" s="96"/>
      <c r="F213" s="96"/>
      <c r="G213" s="96">
        <f t="shared" ref="G213:I213" si="22">G199+G157</f>
        <v>559246.49114586529</v>
      </c>
      <c r="H213" s="96">
        <f t="shared" si="22"/>
        <v>500883.45402241038</v>
      </c>
      <c r="I213" s="96">
        <f t="shared" si="22"/>
        <v>434264.506084322</v>
      </c>
    </row>
    <row r="214" spans="1:10" s="283" customFormat="1" ht="12.75">
      <c r="C214" s="285">
        <v>2013</v>
      </c>
      <c r="D214" s="96"/>
      <c r="E214" s="96"/>
      <c r="F214" s="96">
        <f t="shared" ref="F214:H216" si="23">F200+F158</f>
        <v>668446.97677838174</v>
      </c>
      <c r="G214" s="96">
        <f t="shared" si="23"/>
        <v>606451.48668495612</v>
      </c>
      <c r="H214" s="96">
        <f t="shared" si="23"/>
        <v>538636.15976340801</v>
      </c>
      <c r="I214" s="96">
        <f>I200+I158</f>
        <v>460087.76899999997</v>
      </c>
    </row>
    <row r="215" spans="1:10" s="283" customFormat="1" ht="12.75">
      <c r="C215" s="285">
        <v>2014</v>
      </c>
      <c r="D215" s="96"/>
      <c r="E215" s="96">
        <f t="shared" ref="D215:E218" si="24">E201+E159</f>
        <v>683355.8877659326</v>
      </c>
      <c r="F215" s="96">
        <f t="shared" si="23"/>
        <v>731363.70671092777</v>
      </c>
      <c r="G215" s="96">
        <f t="shared" si="23"/>
        <v>663374.41043220088</v>
      </c>
      <c r="H215" s="96">
        <f>H201+H159</f>
        <v>588447.51500000001</v>
      </c>
      <c r="I215" s="96"/>
    </row>
    <row r="216" spans="1:10" s="283" customFormat="1" ht="12.75">
      <c r="C216" s="285">
        <v>2015</v>
      </c>
      <c r="D216" s="96">
        <f t="shared" si="24"/>
        <v>412463.38617433677</v>
      </c>
      <c r="E216" s="96">
        <f t="shared" si="24"/>
        <v>747716.50441662059</v>
      </c>
      <c r="F216" s="96">
        <f t="shared" si="23"/>
        <v>796046.57383120887</v>
      </c>
      <c r="G216" s="96">
        <f>G202+G160</f>
        <v>713229.81700000004</v>
      </c>
      <c r="H216" s="96"/>
      <c r="I216" s="96"/>
    </row>
    <row r="217" spans="1:10" s="283" customFormat="1" ht="12.75">
      <c r="C217" s="285">
        <v>2016</v>
      </c>
      <c r="D217" s="96">
        <f t="shared" si="24"/>
        <v>434982.63619300164</v>
      </c>
      <c r="E217" s="96">
        <f t="shared" si="24"/>
        <v>769441.64652430662</v>
      </c>
      <c r="F217" s="96">
        <f>F203+F161</f>
        <v>831764.97499999998</v>
      </c>
      <c r="G217" s="96"/>
      <c r="H217" s="96"/>
      <c r="I217" s="96"/>
    </row>
    <row r="218" spans="1:10" s="283" customFormat="1" ht="12.75">
      <c r="C218" s="285">
        <v>2017</v>
      </c>
      <c r="D218" s="96">
        <f t="shared" si="24"/>
        <v>457589.83856387617</v>
      </c>
      <c r="E218" s="96">
        <f>E204+E162</f>
        <v>823281.01599999995</v>
      </c>
      <c r="F218" s="96"/>
      <c r="G218" s="96"/>
      <c r="H218" s="96"/>
      <c r="I218" s="96"/>
    </row>
    <row r="219" spans="1:10" s="283" customFormat="1" ht="12.75">
      <c r="C219" s="285">
        <v>2018</v>
      </c>
      <c r="D219" s="96">
        <f>D205+D163</f>
        <v>494160.81599999999</v>
      </c>
      <c r="E219" s="96"/>
      <c r="F219" s="96"/>
      <c r="G219" s="96"/>
      <c r="H219" s="96"/>
      <c r="I219" s="96"/>
    </row>
    <row r="220" spans="1:10" s="283" customFormat="1" ht="12.75">
      <c r="C220" s="285"/>
      <c r="E220" s="96"/>
      <c r="F220" s="96"/>
      <c r="G220" s="96"/>
      <c r="H220" s="96"/>
      <c r="I220" s="213"/>
    </row>
    <row r="221" spans="1:10" s="283" customFormat="1" ht="67.150000000000006" customHeight="1">
      <c r="A221" s="212" t="s">
        <v>43</v>
      </c>
      <c r="B221" s="533" t="s">
        <v>312</v>
      </c>
      <c r="C221" s="533"/>
      <c r="D221" s="533"/>
      <c r="E221" s="533"/>
      <c r="F221" s="533"/>
      <c r="G221" s="533"/>
      <c r="H221" s="533"/>
      <c r="I221" s="533"/>
      <c r="J221" s="349"/>
    </row>
    <row r="222" spans="1:10" s="283" customFormat="1" ht="39" customHeight="1">
      <c r="A222" s="212" t="s">
        <v>85</v>
      </c>
      <c r="B222" s="533" t="s">
        <v>313</v>
      </c>
      <c r="C222" s="533"/>
      <c r="D222" s="533"/>
      <c r="E222" s="533"/>
      <c r="F222" s="533"/>
      <c r="G222" s="533"/>
      <c r="H222" s="533"/>
      <c r="I222" s="533"/>
      <c r="J222" s="349"/>
    </row>
    <row r="223" spans="1:10" s="283" customFormat="1" ht="39" customHeight="1">
      <c r="A223" s="212" t="s">
        <v>185</v>
      </c>
      <c r="B223" s="533" t="s">
        <v>314</v>
      </c>
      <c r="C223" s="533"/>
      <c r="D223" s="533"/>
      <c r="E223" s="533"/>
      <c r="F223" s="533"/>
      <c r="G223" s="533"/>
      <c r="H223" s="533"/>
      <c r="I223" s="533"/>
      <c r="J223" s="349"/>
    </row>
    <row r="224" spans="1:10" s="283" customFormat="1" ht="12.75"/>
    <row r="225" spans="1:32" s="283" customFormat="1" ht="12.75">
      <c r="B225" s="549" t="s">
        <v>322</v>
      </c>
      <c r="C225" s="549"/>
      <c r="D225" s="549"/>
      <c r="E225" s="549"/>
      <c r="F225" s="549"/>
      <c r="G225" s="549"/>
      <c r="H225" s="549"/>
      <c r="I225" s="549"/>
    </row>
    <row r="226" spans="1:32" s="287" customFormat="1">
      <c r="A226" s="286"/>
      <c r="B226" s="286"/>
      <c r="C226" s="79"/>
      <c r="D226" s="327"/>
      <c r="E226" s="327"/>
      <c r="F226" s="327"/>
      <c r="G226" s="327"/>
      <c r="H226" s="286"/>
      <c r="I226" s="286"/>
      <c r="K226" s="140"/>
      <c r="L226" s="140"/>
      <c r="M226" s="140"/>
      <c r="N226" s="140"/>
      <c r="O226" s="140"/>
      <c r="P226" s="140"/>
      <c r="Q226" s="140"/>
      <c r="R226" s="140"/>
      <c r="S226" s="140"/>
      <c r="T226" s="140"/>
      <c r="U226" s="140"/>
      <c r="V226" s="140"/>
      <c r="W226" s="140"/>
      <c r="X226" s="140"/>
      <c r="Y226" s="140"/>
      <c r="Z226" s="140"/>
      <c r="AA226" s="140"/>
      <c r="AB226" s="140"/>
      <c r="AC226" s="140"/>
      <c r="AD226" s="140"/>
      <c r="AE226" s="140"/>
      <c r="AF226" s="140"/>
    </row>
    <row r="227" spans="1:32" s="287" customFormat="1">
      <c r="A227" s="286"/>
      <c r="B227" s="286"/>
      <c r="C227" s="79"/>
      <c r="D227" s="327"/>
      <c r="E227" s="327"/>
      <c r="F227" s="327"/>
      <c r="G227" s="327"/>
      <c r="H227" s="286"/>
      <c r="I227" s="286"/>
      <c r="K227" s="140"/>
      <c r="L227" s="140"/>
      <c r="M227" s="140"/>
      <c r="N227" s="140"/>
      <c r="O227" s="140"/>
      <c r="P227" s="140"/>
      <c r="Q227" s="140"/>
      <c r="R227" s="140"/>
      <c r="S227" s="140"/>
      <c r="T227" s="140"/>
      <c r="U227" s="140"/>
      <c r="V227" s="140"/>
      <c r="W227" s="140"/>
      <c r="X227" s="140"/>
      <c r="Y227" s="140"/>
      <c r="Z227" s="140"/>
      <c r="AA227" s="140"/>
      <c r="AB227" s="140"/>
      <c r="AC227" s="140"/>
      <c r="AD227" s="140"/>
      <c r="AE227" s="140"/>
      <c r="AF227" s="140"/>
    </row>
    <row r="228" spans="1:32" s="283" customFormat="1" ht="12.75">
      <c r="A228" s="547" t="s">
        <v>31</v>
      </c>
      <c r="B228" s="547"/>
      <c r="C228" s="547"/>
      <c r="D228" s="547"/>
      <c r="E228" s="547"/>
      <c r="F228" s="547"/>
      <c r="G228" s="547"/>
      <c r="H228" s="547"/>
      <c r="I228" s="547"/>
    </row>
    <row r="229" spans="1:32" s="283" customFormat="1" ht="12.75">
      <c r="A229" s="547" t="s">
        <v>297</v>
      </c>
      <c r="B229" s="547"/>
      <c r="C229" s="547"/>
      <c r="D229" s="547"/>
      <c r="E229" s="547"/>
      <c r="F229" s="547"/>
      <c r="G229" s="547"/>
      <c r="H229" s="547"/>
      <c r="I229" s="547"/>
    </row>
    <row r="230" spans="1:32" s="283" customFormat="1" ht="12.75">
      <c r="A230" s="547" t="s">
        <v>298</v>
      </c>
      <c r="B230" s="547"/>
      <c r="C230" s="547"/>
      <c r="D230" s="547"/>
      <c r="E230" s="547"/>
      <c r="F230" s="547"/>
      <c r="G230" s="547"/>
      <c r="H230" s="547"/>
      <c r="I230" s="547"/>
    </row>
    <row r="231" spans="1:32" s="283" customFormat="1" ht="12.75">
      <c r="A231" s="281"/>
      <c r="B231" s="281"/>
      <c r="C231" s="281"/>
      <c r="D231" s="281"/>
      <c r="E231" s="281"/>
      <c r="F231" s="281"/>
      <c r="G231" s="281"/>
      <c r="H231" s="281"/>
    </row>
    <row r="232" spans="1:32" s="283" customFormat="1" ht="12.75"/>
    <row r="233" spans="1:32" s="283" customFormat="1" ht="12.75">
      <c r="A233" s="548" t="s">
        <v>358</v>
      </c>
      <c r="B233" s="548"/>
      <c r="C233" s="548"/>
      <c r="D233" s="548"/>
      <c r="E233" s="548"/>
      <c r="F233" s="548"/>
      <c r="G233" s="548"/>
      <c r="H233" s="548"/>
      <c r="I233" s="548"/>
    </row>
    <row r="234" spans="1:32" s="283" customFormat="1" ht="12.75"/>
    <row r="235" spans="1:32" s="283" customFormat="1" ht="12.75">
      <c r="C235" s="285" t="s">
        <v>218</v>
      </c>
      <c r="D235" s="546"/>
      <c r="E235" s="546"/>
      <c r="F235" s="546"/>
      <c r="G235" s="546"/>
      <c r="H235" s="546"/>
      <c r="I235" s="546"/>
    </row>
    <row r="236" spans="1:32" s="283" customFormat="1" ht="12.75">
      <c r="C236" s="38" t="s">
        <v>8</v>
      </c>
      <c r="D236" s="100">
        <v>15</v>
      </c>
      <c r="E236" s="100">
        <v>27</v>
      </c>
      <c r="F236" s="100">
        <v>39</v>
      </c>
      <c r="G236" s="100">
        <v>51</v>
      </c>
      <c r="H236" s="100">
        <v>63</v>
      </c>
      <c r="I236" s="100">
        <v>75</v>
      </c>
    </row>
    <row r="237" spans="1:32" s="283" customFormat="1" ht="4.5" customHeight="1"/>
    <row r="238" spans="1:32" s="283" customFormat="1" ht="12.75">
      <c r="C238" s="285">
        <v>2010</v>
      </c>
      <c r="D238" s="96"/>
      <c r="E238" s="96"/>
      <c r="F238" s="96"/>
      <c r="G238" s="96"/>
      <c r="H238" s="96"/>
      <c r="I238" s="96">
        <f t="shared" ref="I238" si="25">I211+I140</f>
        <v>2408420.7180043524</v>
      </c>
    </row>
    <row r="239" spans="1:32" s="283" customFormat="1" ht="12.75">
      <c r="C239" s="285">
        <v>2011</v>
      </c>
      <c r="D239" s="96"/>
      <c r="E239" s="96"/>
      <c r="F239" s="96"/>
      <c r="G239" s="96"/>
      <c r="H239" s="96">
        <f t="shared" ref="H239:I239" si="26">H212+H141</f>
        <v>2229485.2279630629</v>
      </c>
      <c r="I239" s="96">
        <f t="shared" si="26"/>
        <v>2370111.4120244668</v>
      </c>
    </row>
    <row r="240" spans="1:32" s="283" customFormat="1" ht="12.75">
      <c r="C240" s="285">
        <v>2012</v>
      </c>
      <c r="D240" s="96"/>
      <c r="E240" s="96"/>
      <c r="F240" s="96"/>
      <c r="G240" s="96">
        <f t="shared" ref="G240:I240" si="27">G213+G142</f>
        <v>2102676.1546439691</v>
      </c>
      <c r="H240" s="96">
        <f t="shared" si="27"/>
        <v>2315922.1700933869</v>
      </c>
      <c r="I240" s="96">
        <f t="shared" si="27"/>
        <v>2460571.9939795081</v>
      </c>
    </row>
    <row r="241" spans="1:9" s="283" customFormat="1" ht="12.75">
      <c r="C241" s="285">
        <v>2013</v>
      </c>
      <c r="D241" s="96"/>
      <c r="E241" s="96"/>
      <c r="F241" s="96">
        <f t="shared" ref="F241:H243" si="28">F214+F143</f>
        <v>1874973.9882130125</v>
      </c>
      <c r="G241" s="96">
        <f t="shared" si="28"/>
        <v>2225563.1171738193</v>
      </c>
      <c r="H241" s="96">
        <f t="shared" si="28"/>
        <v>2431432.6879930706</v>
      </c>
      <c r="I241" s="96">
        <f>I214+I143</f>
        <v>2565283.7560000005</v>
      </c>
    </row>
    <row r="242" spans="1:9" s="283" customFormat="1" ht="12.75">
      <c r="C242" s="285">
        <v>2014</v>
      </c>
      <c r="D242" s="96"/>
      <c r="E242" s="96">
        <f t="shared" ref="D242:E245" si="29">E215+E144</f>
        <v>1379547.8536371165</v>
      </c>
      <c r="F242" s="96">
        <f t="shared" si="28"/>
        <v>2030040.1088302233</v>
      </c>
      <c r="G242" s="96">
        <f t="shared" si="28"/>
        <v>2411306.8964871056</v>
      </c>
      <c r="H242" s="96">
        <f>H215+H144</f>
        <v>2634351.1189999999</v>
      </c>
      <c r="I242" s="96"/>
    </row>
    <row r="243" spans="1:9" s="283" customFormat="1" ht="12.75">
      <c r="C243" s="285">
        <v>2015</v>
      </c>
      <c r="D243" s="96">
        <f t="shared" si="29"/>
        <v>592377.32598206773</v>
      </c>
      <c r="E243" s="96">
        <f t="shared" si="29"/>
        <v>1482722.8943104721</v>
      </c>
      <c r="F243" s="96">
        <f t="shared" si="28"/>
        <v>2146587.1150500304</v>
      </c>
      <c r="G243" s="96">
        <f>G216+G145</f>
        <v>2533289.571</v>
      </c>
      <c r="H243" s="96"/>
      <c r="I243" s="96"/>
    </row>
    <row r="244" spans="1:9" s="283" customFormat="1" ht="12.75">
      <c r="C244" s="285">
        <v>2016</v>
      </c>
      <c r="D244" s="96">
        <f t="shared" si="29"/>
        <v>621710.78416356817</v>
      </c>
      <c r="E244" s="96">
        <f t="shared" si="29"/>
        <v>1498359.2197667905</v>
      </c>
      <c r="F244" s="96">
        <f>F217+F146</f>
        <v>2148899.361</v>
      </c>
      <c r="G244" s="96"/>
      <c r="H244" s="96"/>
      <c r="I244" s="96"/>
    </row>
    <row r="245" spans="1:9" s="283" customFormat="1" ht="12.75">
      <c r="C245" s="285">
        <v>2017</v>
      </c>
      <c r="D245" s="96">
        <f t="shared" si="29"/>
        <v>634855.81816628331</v>
      </c>
      <c r="E245" s="96">
        <f>E218+E147</f>
        <v>1513772.89</v>
      </c>
      <c r="F245" s="96"/>
      <c r="G245" s="96"/>
      <c r="H245" s="96"/>
      <c r="I245" s="96"/>
    </row>
    <row r="246" spans="1:9" s="283" customFormat="1" ht="12.75">
      <c r="C246" s="285">
        <v>2018</v>
      </c>
      <c r="D246" s="96">
        <f>D219+D148</f>
        <v>682724.973</v>
      </c>
      <c r="E246" s="96"/>
      <c r="F246" s="96"/>
      <c r="G246" s="96"/>
      <c r="H246" s="96"/>
      <c r="I246" s="96"/>
    </row>
    <row r="247" spans="1:9" s="283" customFormat="1" ht="12.75">
      <c r="E247" s="96"/>
      <c r="F247" s="96"/>
    </row>
    <row r="248" spans="1:9" s="283" customFormat="1" ht="12.75">
      <c r="A248" s="548" t="s">
        <v>315</v>
      </c>
      <c r="B248" s="548"/>
      <c r="C248" s="548"/>
      <c r="D248" s="548"/>
      <c r="E248" s="548"/>
      <c r="F248" s="548"/>
      <c r="G248" s="548"/>
      <c r="H248" s="548"/>
      <c r="I248" s="548"/>
    </row>
    <row r="249" spans="1:9" s="283" customFormat="1" ht="12.75"/>
    <row r="250" spans="1:9" s="283" customFormat="1" ht="12.75">
      <c r="C250" s="285" t="s">
        <v>218</v>
      </c>
      <c r="D250" s="546"/>
      <c r="E250" s="546"/>
      <c r="F250" s="546"/>
      <c r="G250" s="546"/>
      <c r="H250" s="546"/>
    </row>
    <row r="251" spans="1:9" s="283" customFormat="1" ht="12.75">
      <c r="C251" s="38" t="s">
        <v>8</v>
      </c>
      <c r="D251" s="100" t="s">
        <v>479</v>
      </c>
      <c r="E251" s="100" t="s">
        <v>480</v>
      </c>
      <c r="F251" s="100" t="s">
        <v>481</v>
      </c>
      <c r="G251" s="100" t="s">
        <v>482</v>
      </c>
      <c r="H251" s="100" t="s">
        <v>483</v>
      </c>
    </row>
    <row r="252" spans="1:9" s="283" customFormat="1" ht="4.5" customHeight="1"/>
    <row r="253" spans="1:9" s="283" customFormat="1" ht="12.75">
      <c r="C253" s="285">
        <v>2010</v>
      </c>
      <c r="D253" s="213"/>
      <c r="E253" s="213"/>
      <c r="F253" s="213"/>
      <c r="G253" s="213"/>
      <c r="H253" s="213"/>
    </row>
    <row r="254" spans="1:9" s="283" customFormat="1" ht="12.75">
      <c r="C254" s="285">
        <v>2011</v>
      </c>
      <c r="D254" s="213"/>
      <c r="E254" s="213"/>
      <c r="F254" s="213"/>
      <c r="G254" s="213"/>
      <c r="H254" s="213">
        <f t="shared" ref="H254" si="30">I239/H239</f>
        <v>1.063075629431232</v>
      </c>
    </row>
    <row r="255" spans="1:9" s="283" customFormat="1" ht="12.75">
      <c r="C255" s="285">
        <v>2012</v>
      </c>
      <c r="D255" s="213"/>
      <c r="E255" s="213"/>
      <c r="F255" s="213"/>
      <c r="G255" s="213">
        <f t="shared" ref="G255:H255" si="31">H240/G240</f>
        <v>1.1014164806018476</v>
      </c>
      <c r="H255" s="213">
        <f t="shared" si="31"/>
        <v>1.0624588450139014</v>
      </c>
    </row>
    <row r="256" spans="1:9" s="283" customFormat="1" ht="12.75">
      <c r="C256" s="285">
        <v>2013</v>
      </c>
      <c r="D256" s="213"/>
      <c r="E256" s="213"/>
      <c r="F256" s="213">
        <f t="shared" ref="F256:G257" si="32">G241/F241</f>
        <v>1.1869834627918994</v>
      </c>
      <c r="G256" s="213">
        <f t="shared" si="32"/>
        <v>1.0925022387505592</v>
      </c>
      <c r="H256" s="213">
        <f>I241/H241</f>
        <v>1.0550502872927203</v>
      </c>
    </row>
    <row r="257" spans="1:9" s="283" customFormat="1" ht="12.75">
      <c r="C257" s="285">
        <v>2014</v>
      </c>
      <c r="D257" s="213"/>
      <c r="E257" s="213">
        <f t="shared" ref="D257:E259" si="33">F242/E242</f>
        <v>1.4715256911734615</v>
      </c>
      <c r="F257" s="213">
        <f t="shared" si="32"/>
        <v>1.1878124407485628</v>
      </c>
      <c r="G257" s="213">
        <f>H242/G242</f>
        <v>1.0924993093321447</v>
      </c>
      <c r="H257" s="213"/>
    </row>
    <row r="258" spans="1:9" s="283" customFormat="1" ht="12.75">
      <c r="C258" s="285">
        <v>2015</v>
      </c>
      <c r="D258" s="213">
        <f t="shared" si="33"/>
        <v>2.5030041314500897</v>
      </c>
      <c r="E258" s="213">
        <f t="shared" si="33"/>
        <v>1.4477331693514335</v>
      </c>
      <c r="F258" s="213">
        <f>G243/F243</f>
        <v>1.1801475715747771</v>
      </c>
      <c r="G258" s="213"/>
      <c r="H258" s="213"/>
    </row>
    <row r="259" spans="1:9" s="283" customFormat="1" ht="12.75">
      <c r="C259" s="285">
        <v>2016</v>
      </c>
      <c r="D259" s="213">
        <f t="shared" si="33"/>
        <v>2.4100582745764014</v>
      </c>
      <c r="E259" s="213">
        <f>F244/E244</f>
        <v>1.434168344046671</v>
      </c>
      <c r="F259" s="213"/>
      <c r="G259" s="213"/>
      <c r="H259" s="213"/>
    </row>
    <row r="260" spans="1:9" s="283" customFormat="1" ht="12.75">
      <c r="C260" s="285">
        <v>2017</v>
      </c>
      <c r="D260" s="213">
        <f>E245/D245</f>
        <v>2.3844357201803388</v>
      </c>
      <c r="E260" s="213"/>
      <c r="F260" s="213"/>
      <c r="G260" s="213"/>
      <c r="H260" s="213"/>
    </row>
    <row r="261" spans="1:9" s="283" customFormat="1" ht="12.75">
      <c r="C261" s="285"/>
      <c r="D261" s="389"/>
      <c r="E261" s="389"/>
      <c r="F261" s="389"/>
      <c r="G261" s="389"/>
      <c r="H261" s="389"/>
    </row>
    <row r="262" spans="1:9" s="283" customFormat="1" ht="12.75">
      <c r="C262" s="283" t="s">
        <v>301</v>
      </c>
      <c r="D262" s="213">
        <f>D260</f>
        <v>2.3844357201803388</v>
      </c>
      <c r="E262" s="213">
        <f>E259</f>
        <v>1.434168344046671</v>
      </c>
      <c r="F262" s="213">
        <f>F258</f>
        <v>1.1801475715747771</v>
      </c>
      <c r="G262" s="213">
        <f>G257</f>
        <v>1.0924993093321447</v>
      </c>
      <c r="H262" s="213">
        <f>H256</f>
        <v>1.0550502872927203</v>
      </c>
    </row>
    <row r="263" spans="1:9" s="283" customFormat="1" ht="12.75">
      <c r="C263" s="283" t="s">
        <v>316</v>
      </c>
      <c r="D263" s="213">
        <f>AVERAGE(D258:D260)</f>
        <v>2.4324993754022763</v>
      </c>
      <c r="E263" s="213">
        <f>AVERAGE(E257:E259)</f>
        <v>1.4511424015238552</v>
      </c>
      <c r="F263" s="213">
        <f>AVERAGE(F256:F258)</f>
        <v>1.1849811583717464</v>
      </c>
      <c r="G263" s="213">
        <f>AVERAGE(G255:G257)</f>
        <v>1.0954726762281839</v>
      </c>
      <c r="H263" s="213">
        <f>AVERAGE(H254:H256)</f>
        <v>1.0601949205792847</v>
      </c>
    </row>
    <row r="264" spans="1:9" s="283" customFormat="1" ht="12.75"/>
    <row r="265" spans="1:9" s="283" customFormat="1" ht="12.75">
      <c r="A265" s="548" t="s">
        <v>359</v>
      </c>
      <c r="B265" s="548"/>
      <c r="C265" s="548"/>
      <c r="D265" s="548"/>
      <c r="E265" s="548"/>
      <c r="F265" s="548"/>
      <c r="G265" s="548"/>
      <c r="H265" s="548"/>
      <c r="I265" s="548"/>
    </row>
    <row r="266" spans="1:9" s="283" customFormat="1" ht="12.75"/>
    <row r="267" spans="1:9" s="283" customFormat="1" ht="12.75">
      <c r="C267" s="285" t="s">
        <v>218</v>
      </c>
      <c r="D267" s="546"/>
      <c r="E267" s="546"/>
      <c r="F267" s="546"/>
      <c r="G267" s="546"/>
      <c r="H267" s="546"/>
    </row>
    <row r="268" spans="1:9" s="283" customFormat="1" ht="12.75">
      <c r="C268" s="38" t="s">
        <v>8</v>
      </c>
      <c r="D268" s="427" t="s">
        <v>479</v>
      </c>
      <c r="E268" s="427" t="s">
        <v>480</v>
      </c>
      <c r="F268" s="427" t="s">
        <v>481</v>
      </c>
      <c r="G268" s="427" t="s">
        <v>482</v>
      </c>
      <c r="H268" s="427" t="s">
        <v>483</v>
      </c>
    </row>
    <row r="269" spans="1:9" s="283" customFormat="1" ht="4.5" customHeight="1">
      <c r="D269" s="409"/>
      <c r="E269" s="409"/>
      <c r="F269" s="409"/>
      <c r="G269" s="409"/>
      <c r="H269" s="409"/>
    </row>
    <row r="270" spans="1:9" s="283" customFormat="1" ht="12.75">
      <c r="C270" s="285">
        <v>2011</v>
      </c>
      <c r="D270" s="434"/>
      <c r="E270" s="434"/>
      <c r="F270" s="434"/>
      <c r="G270" s="434"/>
      <c r="H270" s="434">
        <v>1.075791639198054</v>
      </c>
    </row>
    <row r="271" spans="1:9" s="283" customFormat="1" ht="12.75">
      <c r="C271" s="285">
        <v>2012</v>
      </c>
      <c r="D271" s="434"/>
      <c r="E271" s="434"/>
      <c r="F271" s="434"/>
      <c r="G271" s="434">
        <v>1.1223009042351739</v>
      </c>
      <c r="H271" s="434">
        <v>1.0755613191944366</v>
      </c>
    </row>
    <row r="272" spans="1:9" s="283" customFormat="1" ht="12.75">
      <c r="C272" s="285">
        <v>2013</v>
      </c>
      <c r="D272" s="434"/>
      <c r="E272" s="434"/>
      <c r="F272" s="434">
        <v>1.215056548847921</v>
      </c>
      <c r="G272" s="434">
        <v>1.1103946148222554</v>
      </c>
      <c r="H272" s="434">
        <v>1.062965919848331</v>
      </c>
    </row>
    <row r="273" spans="1:32" s="283" customFormat="1" ht="12.75">
      <c r="C273" s="285">
        <v>2014</v>
      </c>
      <c r="D273" s="434"/>
      <c r="E273" s="434">
        <v>1.5007956036804699</v>
      </c>
      <c r="F273" s="434">
        <v>1.2148861393055879</v>
      </c>
      <c r="G273" s="434">
        <v>1.1088221527112017</v>
      </c>
      <c r="H273" s="434"/>
    </row>
    <row r="274" spans="1:32" s="283" customFormat="1" ht="12.75">
      <c r="C274" s="285">
        <v>2015</v>
      </c>
      <c r="D274" s="434">
        <v>2.4678675125687981</v>
      </c>
      <c r="E274" s="434">
        <v>1.4755866049650979</v>
      </c>
      <c r="F274" s="434">
        <v>1.2017194400423357</v>
      </c>
      <c r="G274" s="434"/>
      <c r="H274" s="434"/>
    </row>
    <row r="275" spans="1:32" s="283" customFormat="1" ht="12.75">
      <c r="C275" s="285">
        <v>2016</v>
      </c>
      <c r="D275" s="434">
        <v>2.4027478919844967</v>
      </c>
      <c r="E275" s="434">
        <v>1.4594695863909233</v>
      </c>
      <c r="F275" s="434"/>
      <c r="G275" s="434"/>
      <c r="H275" s="434"/>
    </row>
    <row r="276" spans="1:32" s="283" customFormat="1" ht="12.75">
      <c r="C276" s="285">
        <v>2017</v>
      </c>
      <c r="D276" s="434">
        <v>2.3906218976918652</v>
      </c>
      <c r="E276" s="434"/>
      <c r="F276" s="434"/>
      <c r="G276" s="434"/>
      <c r="H276" s="434"/>
    </row>
    <row r="277" spans="1:32" s="283" customFormat="1" ht="12.75">
      <c r="C277" s="285"/>
      <c r="E277" s="213"/>
      <c r="F277" s="213"/>
    </row>
    <row r="278" spans="1:32" s="283" customFormat="1" ht="26.25" customHeight="1">
      <c r="A278" s="212" t="s">
        <v>189</v>
      </c>
      <c r="B278" s="533" t="s">
        <v>317</v>
      </c>
      <c r="C278" s="533"/>
      <c r="D278" s="533"/>
      <c r="E278" s="533"/>
      <c r="F278" s="533"/>
      <c r="G278" s="533"/>
      <c r="H278" s="533"/>
      <c r="I278" s="533"/>
      <c r="J278" s="349"/>
    </row>
    <row r="279" spans="1:32" s="283" customFormat="1" ht="37.5" customHeight="1">
      <c r="A279" s="212" t="s">
        <v>107</v>
      </c>
      <c r="B279" s="533" t="s">
        <v>318</v>
      </c>
      <c r="C279" s="533"/>
      <c r="D279" s="533"/>
      <c r="E279" s="533"/>
      <c r="F279" s="533"/>
      <c r="G279" s="533"/>
      <c r="H279" s="533"/>
      <c r="I279" s="533"/>
      <c r="J279" s="349"/>
    </row>
    <row r="280" spans="1:32" s="283" customFormat="1" ht="12.75"/>
    <row r="281" spans="1:32" s="283" customFormat="1" ht="12.75">
      <c r="B281" s="549" t="s">
        <v>322</v>
      </c>
      <c r="C281" s="549"/>
      <c r="D281" s="549"/>
      <c r="E281" s="549"/>
      <c r="F281" s="549"/>
      <c r="G281" s="549"/>
      <c r="H281" s="549"/>
      <c r="I281" s="549"/>
    </row>
    <row r="282" spans="1:32" s="287" customFormat="1">
      <c r="K282" s="140"/>
      <c r="L282" s="140"/>
      <c r="M282" s="140"/>
      <c r="N282" s="140"/>
      <c r="O282" s="140"/>
      <c r="P282" s="140"/>
      <c r="Q282" s="140"/>
      <c r="R282" s="140"/>
      <c r="S282" s="140"/>
      <c r="T282" s="140"/>
      <c r="U282" s="140"/>
      <c r="V282" s="140"/>
      <c r="W282" s="140"/>
      <c r="X282" s="140"/>
      <c r="Y282" s="140"/>
      <c r="Z282" s="140"/>
      <c r="AA282" s="140"/>
      <c r="AB282" s="140"/>
      <c r="AC282" s="140"/>
      <c r="AD282" s="140"/>
      <c r="AE282" s="140"/>
      <c r="AF282" s="140"/>
    </row>
    <row r="283" spans="1:32" s="287" customFormat="1">
      <c r="K283" s="140"/>
      <c r="L283" s="140"/>
      <c r="M283" s="140"/>
      <c r="N283" s="140"/>
      <c r="O283" s="140"/>
      <c r="P283" s="140"/>
      <c r="Q283" s="140"/>
      <c r="R283" s="140"/>
      <c r="S283" s="140"/>
      <c r="T283" s="140"/>
      <c r="U283" s="140"/>
      <c r="V283" s="140"/>
      <c r="W283" s="140"/>
      <c r="X283" s="140"/>
      <c r="Y283" s="140"/>
      <c r="Z283" s="140"/>
      <c r="AA283" s="140"/>
      <c r="AB283" s="140"/>
      <c r="AC283" s="140"/>
      <c r="AD283" s="140"/>
      <c r="AE283" s="140"/>
      <c r="AF283" s="140"/>
    </row>
    <row r="284" spans="1:32" s="283" customFormat="1" ht="12.75">
      <c r="A284" s="547" t="s">
        <v>31</v>
      </c>
      <c r="B284" s="547"/>
      <c r="C284" s="547"/>
      <c r="D284" s="547"/>
      <c r="E284" s="547"/>
      <c r="F284" s="547"/>
      <c r="G284" s="547"/>
      <c r="H284" s="547"/>
      <c r="I284" s="547"/>
      <c r="J284" s="547"/>
      <c r="K284" s="281"/>
    </row>
    <row r="285" spans="1:32" s="283" customFormat="1" ht="12.75">
      <c r="A285" s="547" t="s">
        <v>297</v>
      </c>
      <c r="B285" s="547"/>
      <c r="C285" s="547"/>
      <c r="D285" s="547"/>
      <c r="E285" s="547"/>
      <c r="F285" s="547"/>
      <c r="G285" s="547"/>
      <c r="H285" s="547"/>
      <c r="I285" s="547"/>
      <c r="J285" s="547"/>
      <c r="K285" s="281"/>
    </row>
    <row r="286" spans="1:32" s="283" customFormat="1" ht="12.75">
      <c r="A286" s="547" t="s">
        <v>298</v>
      </c>
      <c r="B286" s="547"/>
      <c r="C286" s="547"/>
      <c r="D286" s="547"/>
      <c r="E286" s="547"/>
      <c r="F286" s="547"/>
      <c r="G286" s="547"/>
      <c r="H286" s="547"/>
      <c r="I286" s="547"/>
      <c r="J286" s="547"/>
      <c r="K286" s="281"/>
    </row>
    <row r="287" spans="1:32" s="283" customFormat="1" ht="12.6" customHeight="1">
      <c r="A287" s="281"/>
      <c r="B287" s="281"/>
      <c r="C287" s="281"/>
      <c r="D287" s="281"/>
      <c r="E287" s="281"/>
      <c r="F287" s="281"/>
      <c r="G287" s="281"/>
      <c r="H287" s="281"/>
      <c r="I287" s="281"/>
      <c r="J287" s="281"/>
      <c r="K287" s="281"/>
    </row>
    <row r="288" spans="1:32" s="283" customFormat="1" ht="12.6" customHeight="1"/>
    <row r="289" spans="1:15" s="283" customFormat="1" ht="31.9" customHeight="1">
      <c r="A289" s="548" t="s">
        <v>360</v>
      </c>
      <c r="B289" s="548"/>
      <c r="C289" s="548"/>
      <c r="D289" s="548"/>
      <c r="E289" s="548"/>
      <c r="F289" s="548"/>
      <c r="G289" s="548"/>
      <c r="H289" s="548"/>
      <c r="J289" s="343" t="s">
        <v>535</v>
      </c>
      <c r="K289" s="343"/>
      <c r="L289" s="343"/>
      <c r="M289" s="343"/>
      <c r="N289" s="343"/>
      <c r="O289" s="343"/>
    </row>
    <row r="290" spans="1:15" s="283" customFormat="1" ht="28.15" customHeight="1">
      <c r="J290"/>
      <c r="K290"/>
      <c r="L290" s="136"/>
      <c r="M290" s="136"/>
      <c r="N290" s="136"/>
      <c r="O290" s="136"/>
    </row>
    <row r="291" spans="1:15" s="283" customFormat="1" ht="12.75">
      <c r="C291" s="285" t="s">
        <v>218</v>
      </c>
      <c r="D291" s="546"/>
      <c r="E291" s="546"/>
      <c r="F291" s="546"/>
      <c r="G291" s="546"/>
      <c r="H291" s="546"/>
      <c r="I291" s="79"/>
      <c r="J291" s="392" t="s">
        <v>218</v>
      </c>
      <c r="K291" s="546" t="s">
        <v>350</v>
      </c>
      <c r="L291" s="546"/>
      <c r="M291" s="546"/>
      <c r="N291" s="546"/>
      <c r="O291" s="546"/>
    </row>
    <row r="292" spans="1:15" s="283" customFormat="1" ht="12.75">
      <c r="C292" s="38" t="s">
        <v>8</v>
      </c>
      <c r="D292" s="100" t="s">
        <v>479</v>
      </c>
      <c r="E292" s="100" t="s">
        <v>480</v>
      </c>
      <c r="F292" s="100" t="s">
        <v>481</v>
      </c>
      <c r="G292" s="100" t="s">
        <v>482</v>
      </c>
      <c r="H292" s="100" t="s">
        <v>483</v>
      </c>
      <c r="J292" s="38" t="s">
        <v>8</v>
      </c>
      <c r="K292" s="100" t="str">
        <f>D292</f>
        <v>15-27</v>
      </c>
      <c r="L292" s="100" t="str">
        <f t="shared" ref="L292:O292" si="34">E292</f>
        <v>27-39</v>
      </c>
      <c r="M292" s="100" t="str">
        <f t="shared" si="34"/>
        <v>39-51</v>
      </c>
      <c r="N292" s="100" t="str">
        <f t="shared" si="34"/>
        <v>51-63</v>
      </c>
      <c r="O292" s="100" t="str">
        <f t="shared" si="34"/>
        <v>63-75</v>
      </c>
    </row>
    <row r="293" spans="1:15" s="283" customFormat="1" ht="4.5" customHeight="1">
      <c r="J293" s="389"/>
      <c r="K293" s="389"/>
      <c r="L293" s="389"/>
      <c r="M293" s="389"/>
      <c r="N293" s="389"/>
      <c r="O293" s="389"/>
    </row>
    <row r="294" spans="1:15" s="283" customFormat="1" ht="12.75">
      <c r="C294" s="285">
        <v>2011</v>
      </c>
      <c r="D294" s="215"/>
      <c r="E294" s="215"/>
      <c r="F294" s="215"/>
      <c r="G294" s="215"/>
      <c r="H294" s="215">
        <f t="shared" ref="H294" si="35">H254/H270-1</f>
        <v>-1.1820141841129228E-2</v>
      </c>
      <c r="J294" s="392">
        <f>C294</f>
        <v>2011</v>
      </c>
      <c r="K294" s="392"/>
      <c r="L294" s="213"/>
      <c r="M294" s="213"/>
      <c r="N294" s="213"/>
      <c r="O294" s="213">
        <f>'Exhibit 2.3.1'!F23</f>
        <v>1.0760000000000001</v>
      </c>
    </row>
    <row r="295" spans="1:15" s="283" customFormat="1" ht="12.75">
      <c r="C295" s="285">
        <v>2012</v>
      </c>
      <c r="D295" s="215"/>
      <c r="E295" s="215"/>
      <c r="F295" s="215"/>
      <c r="G295" s="215">
        <f t="shared" ref="G295:H295" si="36">G255/G271-1</f>
        <v>-1.8608577748191912E-2</v>
      </c>
      <c r="H295" s="215">
        <f t="shared" si="36"/>
        <v>-1.2181987160293728E-2</v>
      </c>
      <c r="J295" s="392">
        <f t="shared" ref="J295:J300" si="37">C295</f>
        <v>2012</v>
      </c>
      <c r="K295" s="392"/>
      <c r="L295" s="213"/>
      <c r="M295" s="213"/>
      <c r="N295" s="213">
        <f>'Exhibit 2.3.1'!E24</f>
        <v>1.123</v>
      </c>
      <c r="O295" s="213">
        <f>'Exhibit 2.3.1'!F24</f>
        <v>1.0760000000000001</v>
      </c>
    </row>
    <row r="296" spans="1:15" s="283" customFormat="1" ht="12.75">
      <c r="C296" s="285">
        <v>2013</v>
      </c>
      <c r="D296" s="215"/>
      <c r="E296" s="215"/>
      <c r="F296" s="215">
        <f t="shared" ref="F296:G297" si="38">F256/F272-1</f>
        <v>-2.3104345293755824E-2</v>
      </c>
      <c r="G296" s="215">
        <f t="shared" si="38"/>
        <v>-1.6113529220024514E-2</v>
      </c>
      <c r="H296" s="215">
        <f>H256/H272-1</f>
        <v>-7.4467416196561942E-3</v>
      </c>
      <c r="J296" s="392">
        <f t="shared" si="37"/>
        <v>2013</v>
      </c>
      <c r="K296" s="392"/>
      <c r="L296" s="213"/>
      <c r="M296" s="213">
        <f>'Exhibit 2.3.1'!D25</f>
        <v>1.216</v>
      </c>
      <c r="N296" s="213">
        <f>'Exhibit 2.3.1'!E25</f>
        <v>1.111</v>
      </c>
      <c r="O296" s="213">
        <f>'Exhibit 2.3.1'!F25</f>
        <v>1.0629999999999999</v>
      </c>
    </row>
    <row r="297" spans="1:15" s="283" customFormat="1" ht="12.75">
      <c r="C297" s="285">
        <v>2014</v>
      </c>
      <c r="D297" s="215"/>
      <c r="E297" s="215">
        <f t="shared" ref="D297:E299" si="39">E257/E273-1</f>
        <v>-1.9502930602427471E-2</v>
      </c>
      <c r="F297" s="215">
        <f t="shared" si="38"/>
        <v>-2.2284967850978998E-2</v>
      </c>
      <c r="G297" s="215">
        <f>G257/G273-1</f>
        <v>-1.4720884985158111E-2</v>
      </c>
      <c r="H297" s="215"/>
      <c r="J297" s="392">
        <f t="shared" si="37"/>
        <v>2014</v>
      </c>
      <c r="K297" s="392"/>
      <c r="L297" s="213">
        <f>'Exhibit 2.3.1'!C26</f>
        <v>1.5009999999999999</v>
      </c>
      <c r="M297" s="213">
        <f>'Exhibit 2.3.1'!D26</f>
        <v>1.2150000000000001</v>
      </c>
      <c r="N297" s="213">
        <f>'Exhibit 2.3.1'!E26</f>
        <v>1.109</v>
      </c>
      <c r="O297" s="213"/>
    </row>
    <row r="298" spans="1:15" s="283" customFormat="1" ht="12.75">
      <c r="C298" s="285">
        <v>2015</v>
      </c>
      <c r="D298" s="215">
        <f t="shared" si="39"/>
        <v>1.4237643918217469E-2</v>
      </c>
      <c r="E298" s="215">
        <f t="shared" si="39"/>
        <v>-1.8876178138200972E-2</v>
      </c>
      <c r="F298" s="215">
        <f>F258/F274-1</f>
        <v>-1.7950835901263784E-2</v>
      </c>
      <c r="G298" s="215"/>
      <c r="H298" s="215"/>
      <c r="J298" s="392">
        <f t="shared" si="37"/>
        <v>2015</v>
      </c>
      <c r="K298" s="213">
        <f>'Exhibit 2.3.1'!B27</f>
        <v>2.468</v>
      </c>
      <c r="L298" s="213">
        <f>'Exhibit 2.3.1'!C27</f>
        <v>1.476</v>
      </c>
      <c r="M298" s="213">
        <f>'Exhibit 2.3.1'!D27</f>
        <v>1.202</v>
      </c>
      <c r="N298" s="213"/>
      <c r="O298" s="213"/>
    </row>
    <row r="299" spans="1:15" s="283" customFormat="1" ht="12.75">
      <c r="C299" s="285">
        <v>2016</v>
      </c>
      <c r="D299" s="215">
        <f t="shared" si="39"/>
        <v>3.0425092105135221E-3</v>
      </c>
      <c r="E299" s="215">
        <f>E259/E275-1</f>
        <v>-1.7335916130201023E-2</v>
      </c>
      <c r="F299" s="215"/>
      <c r="G299" s="215"/>
      <c r="H299" s="215"/>
      <c r="J299" s="392">
        <f t="shared" si="37"/>
        <v>2016</v>
      </c>
      <c r="K299" s="213">
        <f>'Exhibit 2.3.1'!B28</f>
        <v>2.403</v>
      </c>
      <c r="L299" s="213">
        <f>'Exhibit 2.3.1'!C28</f>
        <v>1.4590000000000001</v>
      </c>
      <c r="M299" s="213"/>
      <c r="N299" s="213"/>
      <c r="O299" s="213"/>
    </row>
    <row r="300" spans="1:15" s="283" customFormat="1" ht="12.75">
      <c r="C300" s="285">
        <v>2017</v>
      </c>
      <c r="D300" s="215">
        <f>D260/D276-1</f>
        <v>-2.5876854543577243E-3</v>
      </c>
      <c r="E300" s="215"/>
      <c r="F300" s="215"/>
      <c r="G300" s="215"/>
      <c r="H300" s="215"/>
      <c r="J300" s="392">
        <f t="shared" si="37"/>
        <v>2017</v>
      </c>
      <c r="K300" s="213">
        <f>'Exhibit 2.3.1'!B29</f>
        <v>2.39</v>
      </c>
      <c r="L300" s="213"/>
      <c r="M300" s="213"/>
      <c r="N300" s="213"/>
      <c r="O300" s="213"/>
    </row>
    <row r="301" spans="1:15" s="283" customFormat="1" ht="35.450000000000003" customHeight="1">
      <c r="C301" s="285"/>
      <c r="E301" s="215"/>
      <c r="F301" s="215"/>
      <c r="G301" s="215"/>
      <c r="H301" s="215"/>
      <c r="J301" s="210"/>
    </row>
    <row r="302" spans="1:15" s="283" customFormat="1" ht="39" customHeight="1">
      <c r="A302" s="551" t="s">
        <v>388</v>
      </c>
      <c r="B302" s="551"/>
      <c r="C302" s="551"/>
      <c r="D302" s="551"/>
      <c r="E302" s="551"/>
      <c r="F302" s="551"/>
      <c r="G302" s="551"/>
      <c r="H302" s="362"/>
      <c r="I302" s="280"/>
      <c r="J302" s="280"/>
    </row>
    <row r="303" spans="1:15" s="283" customFormat="1" ht="28.15" customHeight="1">
      <c r="B303" s="280"/>
      <c r="C303" s="280"/>
      <c r="D303" s="280"/>
      <c r="E303" s="280"/>
      <c r="F303" s="280"/>
      <c r="G303" s="280"/>
      <c r="H303" s="280"/>
    </row>
    <row r="304" spans="1:15" s="283" customFormat="1" ht="12.75">
      <c r="C304" s="285" t="s">
        <v>218</v>
      </c>
      <c r="D304" s="546"/>
      <c r="E304" s="546"/>
      <c r="F304" s="546"/>
      <c r="G304" s="546"/>
      <c r="H304" s="546"/>
    </row>
    <row r="305" spans="1:12" s="283" customFormat="1" ht="12.75">
      <c r="C305" s="38" t="s">
        <v>8</v>
      </c>
      <c r="D305" s="100" t="s">
        <v>479</v>
      </c>
      <c r="E305" s="100" t="s">
        <v>480</v>
      </c>
      <c r="F305" s="100" t="s">
        <v>481</v>
      </c>
      <c r="G305" s="100" t="s">
        <v>482</v>
      </c>
      <c r="H305" s="100" t="s">
        <v>483</v>
      </c>
    </row>
    <row r="306" spans="1:12" s="283" customFormat="1" ht="4.5" customHeight="1"/>
    <row r="307" spans="1:12" s="283" customFormat="1" ht="12.75">
      <c r="C307" s="285">
        <v>2011</v>
      </c>
      <c r="D307" s="216"/>
      <c r="E307" s="216"/>
      <c r="F307" s="216"/>
      <c r="G307" s="216"/>
      <c r="H307" s="216">
        <f t="shared" ref="D307:H312" si="40">(1+H294)*O294</f>
        <v>1.0632815273789451</v>
      </c>
    </row>
    <row r="308" spans="1:12" s="283" customFormat="1" ht="12.75">
      <c r="C308" s="285">
        <v>2012</v>
      </c>
      <c r="D308" s="216"/>
      <c r="E308" s="216"/>
      <c r="F308" s="216"/>
      <c r="G308" s="216">
        <f t="shared" si="40"/>
        <v>1.1021025671887805</v>
      </c>
      <c r="H308" s="216">
        <f t="shared" si="40"/>
        <v>1.0628921818155239</v>
      </c>
    </row>
    <row r="309" spans="1:12" s="283" customFormat="1" ht="12.75">
      <c r="C309" s="285">
        <v>2013</v>
      </c>
      <c r="D309" s="216"/>
      <c r="E309" s="216"/>
      <c r="F309" s="216">
        <f t="shared" si="40"/>
        <v>1.1879051161227929</v>
      </c>
      <c r="G309" s="216">
        <f t="shared" si="40"/>
        <v>1.0930978690365527</v>
      </c>
      <c r="H309" s="216">
        <f>(1+H296)*O296</f>
        <v>1.0550841136583053</v>
      </c>
    </row>
    <row r="310" spans="1:12" s="283" customFormat="1" ht="12.75">
      <c r="C310" s="285">
        <v>2014</v>
      </c>
      <c r="D310" s="216"/>
      <c r="E310" s="216">
        <f t="shared" si="40"/>
        <v>1.4717261011657563</v>
      </c>
      <c r="F310" s="216">
        <f t="shared" si="40"/>
        <v>1.1879237640610607</v>
      </c>
      <c r="G310" s="216">
        <f>(1+G297)*N297</f>
        <v>1.0926745385514596</v>
      </c>
      <c r="H310" s="216"/>
    </row>
    <row r="311" spans="1:12" s="283" customFormat="1" ht="12.75">
      <c r="C311" s="285">
        <v>2015</v>
      </c>
      <c r="D311" s="216">
        <f t="shared" si="40"/>
        <v>2.5031385051901607</v>
      </c>
      <c r="E311" s="216">
        <f t="shared" si="40"/>
        <v>1.4481387610680154</v>
      </c>
      <c r="F311" s="216">
        <f>(1+F298)*M298</f>
        <v>1.180423095246681</v>
      </c>
      <c r="G311" s="216"/>
      <c r="H311" s="216"/>
    </row>
    <row r="312" spans="1:12" s="283" customFormat="1" ht="12.75">
      <c r="C312" s="285">
        <v>2016</v>
      </c>
      <c r="D312" s="216">
        <f t="shared" si="40"/>
        <v>2.410311149632864</v>
      </c>
      <c r="E312" s="216">
        <f>(1+E299)*L299</f>
        <v>1.4337068983660368</v>
      </c>
      <c r="F312" s="216"/>
      <c r="G312" s="216"/>
      <c r="H312" s="216"/>
    </row>
    <row r="313" spans="1:12" s="283" customFormat="1" ht="12.75">
      <c r="C313" s="285">
        <v>2017</v>
      </c>
      <c r="D313" s="216">
        <f>(1+D300)*K300</f>
        <v>2.3838154317640852</v>
      </c>
      <c r="E313" s="216"/>
      <c r="F313" s="216"/>
      <c r="G313" s="216"/>
      <c r="H313" s="216"/>
    </row>
    <row r="314" spans="1:12" s="283" customFormat="1" ht="12.75">
      <c r="C314" s="285"/>
      <c r="D314" s="389"/>
      <c r="E314" s="389"/>
      <c r="F314" s="389"/>
      <c r="G314" s="389"/>
      <c r="H314" s="389"/>
    </row>
    <row r="315" spans="1:12" s="283" customFormat="1" ht="12.75">
      <c r="C315" s="283" t="s">
        <v>301</v>
      </c>
      <c r="D315" s="213">
        <f>D313</f>
        <v>2.3838154317640852</v>
      </c>
      <c r="E315" s="213">
        <f>E312</f>
        <v>1.4337068983660368</v>
      </c>
      <c r="F315" s="213">
        <f>F311</f>
        <v>1.180423095246681</v>
      </c>
      <c r="G315" s="213">
        <f>G310</f>
        <v>1.0926745385514596</v>
      </c>
      <c r="H315" s="213">
        <f>H309</f>
        <v>1.0550841136583053</v>
      </c>
    </row>
    <row r="316" spans="1:12" s="283" customFormat="1" ht="12.75">
      <c r="C316" s="283" t="s">
        <v>316</v>
      </c>
      <c r="D316" s="213">
        <f>AVERAGE(D311:D313)</f>
        <v>2.4324216955290363</v>
      </c>
      <c r="E316" s="213">
        <f>AVERAGE(E310:E312)</f>
        <v>1.4511905868666028</v>
      </c>
      <c r="F316" s="213">
        <f>AVERAGE(F309:F311)</f>
        <v>1.1854173251435116</v>
      </c>
      <c r="G316" s="213">
        <f>AVERAGE(G308:G310)</f>
        <v>1.0959583249255975</v>
      </c>
      <c r="H316" s="213">
        <f>AVERAGE(H307:H309)</f>
        <v>1.0604192742842582</v>
      </c>
    </row>
    <row r="317" spans="1:12" s="283" customFormat="1" ht="12.75">
      <c r="D317" s="213"/>
      <c r="E317" s="213"/>
      <c r="F317" s="213"/>
      <c r="G317" s="213"/>
      <c r="H317" s="213"/>
    </row>
    <row r="318" spans="1:12" s="283" customFormat="1" ht="30.6" customHeight="1">
      <c r="A318" s="212" t="s">
        <v>319</v>
      </c>
      <c r="B318" s="533" t="s">
        <v>320</v>
      </c>
      <c r="C318" s="533"/>
      <c r="D318" s="533"/>
      <c r="E318" s="533"/>
      <c r="F318" s="533"/>
      <c r="G318" s="533"/>
      <c r="H318" s="533"/>
      <c r="I318" s="533"/>
    </row>
    <row r="319" spans="1:12" s="283" customFormat="1" ht="29.25" customHeight="1">
      <c r="A319" s="212" t="s">
        <v>321</v>
      </c>
      <c r="B319" s="533" t="s">
        <v>337</v>
      </c>
      <c r="C319" s="533"/>
      <c r="D319" s="533"/>
      <c r="E319" s="533"/>
      <c r="F319" s="533"/>
      <c r="G319" s="533"/>
      <c r="H319" s="533"/>
      <c r="I319" s="533"/>
    </row>
    <row r="320" spans="1:12" s="283" customFormat="1" ht="49.15" customHeight="1">
      <c r="A320" s="286"/>
      <c r="B320" s="286"/>
      <c r="C320" s="286"/>
      <c r="D320" s="217"/>
      <c r="E320" s="217"/>
      <c r="F320" s="217"/>
      <c r="G320" s="217"/>
      <c r="H320" s="217"/>
      <c r="I320" s="286"/>
      <c r="J320" s="286"/>
      <c r="K320" s="286"/>
      <c r="L320" s="286"/>
    </row>
    <row r="321" spans="1:32" s="283" customFormat="1" ht="23.45" customHeight="1">
      <c r="A321" s="286" t="s">
        <v>322</v>
      </c>
      <c r="B321" s="286"/>
      <c r="C321" s="79"/>
      <c r="D321" s="80"/>
      <c r="E321" s="80"/>
      <c r="F321" s="80"/>
      <c r="G321" s="80"/>
      <c r="H321" s="80"/>
      <c r="I321" s="286"/>
      <c r="J321" s="286"/>
      <c r="K321" s="286"/>
      <c r="L321" s="286"/>
    </row>
    <row r="322" spans="1:32" s="287" customFormat="1">
      <c r="K322" s="140"/>
      <c r="L322" s="140"/>
      <c r="M322" s="140"/>
      <c r="N322" s="140"/>
      <c r="O322" s="140"/>
      <c r="P322" s="140"/>
      <c r="Q322" s="140"/>
      <c r="R322" s="140"/>
      <c r="S322" s="140"/>
      <c r="T322" s="140"/>
      <c r="U322" s="140"/>
      <c r="V322" s="140"/>
      <c r="W322" s="140"/>
      <c r="X322" s="140"/>
      <c r="Y322" s="140"/>
      <c r="Z322" s="140"/>
      <c r="AA322" s="140"/>
      <c r="AB322" s="140"/>
      <c r="AC322" s="140"/>
      <c r="AD322" s="140"/>
      <c r="AE322" s="140"/>
      <c r="AF322" s="140"/>
    </row>
    <row r="323" spans="1:32" s="287" customFormat="1">
      <c r="K323" s="140"/>
      <c r="L323" s="140"/>
      <c r="M323" s="140"/>
      <c r="N323" s="140"/>
      <c r="O323" s="140"/>
      <c r="P323" s="140"/>
      <c r="Q323" s="140"/>
      <c r="R323" s="140"/>
      <c r="S323" s="140"/>
      <c r="T323" s="140"/>
      <c r="U323" s="140"/>
      <c r="V323" s="140"/>
      <c r="W323" s="140"/>
      <c r="X323" s="140"/>
      <c r="Y323" s="140"/>
      <c r="Z323" s="140"/>
      <c r="AA323" s="140"/>
      <c r="AB323" s="140"/>
      <c r="AC323" s="140"/>
      <c r="AD323" s="140"/>
      <c r="AE323" s="140"/>
      <c r="AF323" s="140"/>
    </row>
    <row r="324" spans="1:32" s="287" customFormat="1">
      <c r="K324" s="140"/>
      <c r="L324" s="140"/>
      <c r="M324" s="140"/>
      <c r="N324" s="140"/>
      <c r="O324" s="140"/>
      <c r="P324" s="140"/>
      <c r="Q324" s="140"/>
      <c r="R324" s="140"/>
      <c r="S324" s="140"/>
      <c r="T324" s="140"/>
      <c r="U324" s="140"/>
      <c r="V324" s="140"/>
      <c r="W324" s="140"/>
      <c r="X324" s="140"/>
      <c r="Y324" s="140"/>
      <c r="Z324" s="140"/>
      <c r="AA324" s="140"/>
      <c r="AB324" s="140"/>
      <c r="AC324" s="140"/>
      <c r="AD324" s="140"/>
      <c r="AE324" s="140"/>
      <c r="AF324" s="140"/>
    </row>
    <row r="325" spans="1:32" s="287" customFormat="1">
      <c r="K325" s="140"/>
      <c r="L325" s="140"/>
      <c r="M325" s="140"/>
      <c r="N325" s="140"/>
      <c r="O325" s="140"/>
      <c r="P325" s="140"/>
      <c r="Q325" s="140"/>
      <c r="R325" s="140"/>
      <c r="S325" s="140"/>
      <c r="T325" s="140"/>
      <c r="U325" s="140"/>
      <c r="V325" s="140"/>
      <c r="W325" s="140"/>
      <c r="X325" s="140"/>
      <c r="Y325" s="140"/>
      <c r="Z325" s="140"/>
      <c r="AA325" s="140"/>
      <c r="AB325" s="140"/>
      <c r="AC325" s="140"/>
      <c r="AD325" s="140"/>
      <c r="AE325" s="140"/>
      <c r="AF325" s="140"/>
    </row>
    <row r="326" spans="1:32" s="287" customFormat="1">
      <c r="K326" s="140"/>
      <c r="L326" s="140"/>
      <c r="M326" s="140"/>
      <c r="N326" s="140"/>
      <c r="O326" s="140"/>
      <c r="P326" s="140"/>
      <c r="Q326" s="140"/>
      <c r="R326" s="140"/>
      <c r="S326" s="140"/>
      <c r="T326" s="140"/>
      <c r="U326" s="140"/>
      <c r="V326" s="140"/>
      <c r="W326" s="140"/>
      <c r="X326" s="140"/>
      <c r="Y326" s="140"/>
      <c r="Z326" s="140"/>
      <c r="AA326" s="140"/>
      <c r="AB326" s="140"/>
      <c r="AC326" s="140"/>
      <c r="AD326" s="140"/>
      <c r="AE326" s="140"/>
      <c r="AF326" s="140"/>
    </row>
    <row r="327" spans="1:32" s="287" customFormat="1">
      <c r="K327" s="140"/>
      <c r="L327" s="140"/>
      <c r="M327" s="140"/>
      <c r="N327" s="140"/>
      <c r="O327" s="140"/>
      <c r="P327" s="140"/>
      <c r="Q327" s="140"/>
      <c r="R327" s="140"/>
      <c r="S327" s="140"/>
      <c r="T327" s="140"/>
      <c r="U327" s="140"/>
      <c r="V327" s="140"/>
      <c r="W327" s="140"/>
      <c r="X327" s="140"/>
      <c r="Y327" s="140"/>
      <c r="Z327" s="140"/>
      <c r="AA327" s="140"/>
      <c r="AB327" s="140"/>
      <c r="AC327" s="140"/>
      <c r="AD327" s="140"/>
      <c r="AE327" s="140"/>
      <c r="AF327" s="140"/>
    </row>
    <row r="328" spans="1:32" s="287" customFormat="1">
      <c r="K328" s="140"/>
      <c r="L328" s="140"/>
      <c r="M328" s="140"/>
      <c r="N328" s="140"/>
      <c r="O328" s="140"/>
      <c r="P328" s="140"/>
      <c r="Q328" s="140"/>
      <c r="R328" s="140"/>
      <c r="S328" s="140"/>
      <c r="T328" s="140"/>
      <c r="U328" s="140"/>
      <c r="V328" s="140"/>
      <c r="W328" s="140"/>
      <c r="X328" s="140"/>
      <c r="Y328" s="140"/>
      <c r="Z328" s="140"/>
      <c r="AA328" s="140"/>
      <c r="AB328" s="140"/>
      <c r="AC328" s="140"/>
      <c r="AD328" s="140"/>
      <c r="AE328" s="140"/>
      <c r="AF328" s="140"/>
    </row>
    <row r="329" spans="1:32" s="287" customFormat="1">
      <c r="K329" s="140"/>
      <c r="L329" s="140"/>
      <c r="M329" s="140"/>
      <c r="N329" s="140"/>
      <c r="O329" s="140"/>
      <c r="P329" s="140"/>
      <c r="Q329" s="140"/>
      <c r="R329" s="140"/>
      <c r="S329" s="140"/>
      <c r="T329" s="140"/>
      <c r="U329" s="140"/>
      <c r="V329" s="140"/>
      <c r="W329" s="140"/>
      <c r="X329" s="140"/>
      <c r="Y329" s="140"/>
      <c r="Z329" s="140"/>
      <c r="AA329" s="140"/>
      <c r="AB329" s="140"/>
      <c r="AC329" s="140"/>
      <c r="AD329" s="140"/>
      <c r="AE329" s="140"/>
      <c r="AF329" s="140"/>
    </row>
    <row r="330" spans="1:32" s="287" customFormat="1">
      <c r="K330" s="140"/>
      <c r="L330" s="140"/>
      <c r="M330" s="140"/>
      <c r="N330" s="140"/>
      <c r="O330" s="140"/>
      <c r="P330" s="140"/>
      <c r="Q330" s="140"/>
      <c r="R330" s="140"/>
      <c r="S330" s="140"/>
      <c r="T330" s="140"/>
      <c r="U330" s="140"/>
      <c r="V330" s="140"/>
      <c r="W330" s="140"/>
      <c r="X330" s="140"/>
      <c r="Y330" s="140"/>
      <c r="Z330" s="140"/>
      <c r="AA330" s="140"/>
      <c r="AB330" s="140"/>
      <c r="AC330" s="140"/>
      <c r="AD330" s="140"/>
      <c r="AE330" s="140"/>
      <c r="AF330" s="140"/>
    </row>
    <row r="331" spans="1:32" s="287" customFormat="1">
      <c r="K331" s="140"/>
      <c r="L331" s="140"/>
      <c r="M331" s="140"/>
      <c r="N331" s="140"/>
      <c r="O331" s="140"/>
      <c r="P331" s="140"/>
      <c r="Q331" s="140"/>
      <c r="R331" s="140"/>
      <c r="S331" s="140"/>
      <c r="T331" s="140"/>
      <c r="U331" s="140"/>
      <c r="V331" s="140"/>
      <c r="W331" s="140"/>
      <c r="X331" s="140"/>
      <c r="Y331" s="140"/>
      <c r="Z331" s="140"/>
      <c r="AA331" s="140"/>
      <c r="AB331" s="140"/>
      <c r="AC331" s="140"/>
      <c r="AD331" s="140"/>
      <c r="AE331" s="140"/>
      <c r="AF331" s="140"/>
    </row>
    <row r="332" spans="1:32" s="287" customFormat="1">
      <c r="K332" s="140"/>
      <c r="L332" s="140"/>
      <c r="M332" s="140"/>
      <c r="N332" s="140"/>
      <c r="O332" s="140"/>
      <c r="P332" s="140"/>
      <c r="Q332" s="140"/>
      <c r="R332" s="140"/>
      <c r="S332" s="140"/>
      <c r="T332" s="140"/>
      <c r="U332" s="140"/>
      <c r="V332" s="140"/>
      <c r="W332" s="140"/>
      <c r="X332" s="140"/>
      <c r="Y332" s="140"/>
      <c r="Z332" s="140"/>
      <c r="AA332" s="140"/>
      <c r="AB332" s="140"/>
      <c r="AC332" s="140"/>
      <c r="AD332" s="140"/>
      <c r="AE332" s="140"/>
      <c r="AF332" s="140"/>
    </row>
    <row r="333" spans="1:32" s="287" customFormat="1">
      <c r="K333" s="140"/>
      <c r="L333" s="140"/>
      <c r="M333" s="140"/>
      <c r="N333" s="140"/>
      <c r="O333" s="140"/>
      <c r="P333" s="140"/>
      <c r="Q333" s="140"/>
      <c r="R333" s="140"/>
      <c r="S333" s="140"/>
      <c r="T333" s="140"/>
      <c r="U333" s="140"/>
      <c r="V333" s="140"/>
      <c r="W333" s="140"/>
      <c r="X333" s="140"/>
      <c r="Y333" s="140"/>
      <c r="Z333" s="140"/>
      <c r="AA333" s="140"/>
      <c r="AB333" s="140"/>
      <c r="AC333" s="140"/>
      <c r="AD333" s="140"/>
      <c r="AE333" s="140"/>
      <c r="AF333" s="140"/>
    </row>
    <row r="334" spans="1:32" s="287" customFormat="1">
      <c r="K334" s="140"/>
      <c r="L334" s="140"/>
      <c r="M334" s="140"/>
      <c r="N334" s="140"/>
      <c r="O334" s="140"/>
      <c r="P334" s="140"/>
      <c r="Q334" s="140"/>
      <c r="R334" s="140"/>
      <c r="S334" s="140"/>
      <c r="T334" s="140"/>
      <c r="U334" s="140"/>
      <c r="V334" s="140"/>
      <c r="W334" s="140"/>
      <c r="X334" s="140"/>
      <c r="Y334" s="140"/>
      <c r="Z334" s="140"/>
      <c r="AA334" s="140"/>
      <c r="AB334" s="140"/>
      <c r="AC334" s="140"/>
      <c r="AD334" s="140"/>
      <c r="AE334" s="140"/>
      <c r="AF334" s="140"/>
    </row>
    <row r="335" spans="1:32" s="287" customFormat="1">
      <c r="K335" s="140"/>
      <c r="L335" s="140"/>
      <c r="M335" s="140"/>
      <c r="N335" s="140"/>
      <c r="O335" s="140"/>
      <c r="P335" s="140"/>
      <c r="Q335" s="140"/>
      <c r="R335" s="140"/>
      <c r="S335" s="140"/>
      <c r="T335" s="140"/>
      <c r="U335" s="140"/>
      <c r="V335" s="140"/>
      <c r="W335" s="140"/>
      <c r="X335" s="140"/>
      <c r="Y335" s="140"/>
      <c r="Z335" s="140"/>
      <c r="AA335" s="140"/>
      <c r="AB335" s="140"/>
      <c r="AC335" s="140"/>
      <c r="AD335" s="140"/>
      <c r="AE335" s="140"/>
      <c r="AF335" s="140"/>
    </row>
    <row r="336" spans="1:32" s="287" customFormat="1">
      <c r="K336" s="140"/>
      <c r="L336" s="140"/>
      <c r="M336" s="140"/>
      <c r="N336" s="140"/>
      <c r="O336" s="140"/>
      <c r="P336" s="140"/>
      <c r="Q336" s="140"/>
      <c r="R336" s="140"/>
      <c r="S336" s="140"/>
      <c r="T336" s="140"/>
      <c r="U336" s="140"/>
      <c r="V336" s="140"/>
      <c r="W336" s="140"/>
      <c r="X336" s="140"/>
      <c r="Y336" s="140"/>
      <c r="Z336" s="140"/>
      <c r="AA336" s="140"/>
      <c r="AB336" s="140"/>
      <c r="AC336" s="140"/>
      <c r="AD336" s="140"/>
      <c r="AE336" s="140"/>
      <c r="AF336" s="140"/>
    </row>
    <row r="337" spans="11:32" s="287" customFormat="1">
      <c r="K337" s="140"/>
      <c r="L337" s="140"/>
      <c r="M337" s="140"/>
      <c r="N337" s="140"/>
      <c r="O337" s="140"/>
      <c r="P337" s="140"/>
      <c r="Q337" s="140"/>
      <c r="R337" s="140"/>
      <c r="S337" s="140"/>
      <c r="T337" s="140"/>
      <c r="U337" s="140"/>
      <c r="V337" s="140"/>
      <c r="W337" s="140"/>
      <c r="X337" s="140"/>
      <c r="Y337" s="140"/>
      <c r="Z337" s="140"/>
      <c r="AA337" s="140"/>
      <c r="AB337" s="140"/>
      <c r="AC337" s="140"/>
      <c r="AD337" s="140"/>
      <c r="AE337" s="140"/>
      <c r="AF337" s="140"/>
    </row>
  </sheetData>
  <mergeCells count="72">
    <mergeCell ref="D235:I235"/>
    <mergeCell ref="A248:I248"/>
    <mergeCell ref="D250:H250"/>
    <mergeCell ref="A265:I265"/>
    <mergeCell ref="D152:I152"/>
    <mergeCell ref="B166:I166"/>
    <mergeCell ref="B168:I168"/>
    <mergeCell ref="B223:I223"/>
    <mergeCell ref="A233:I233"/>
    <mergeCell ref="A230:I230"/>
    <mergeCell ref="B225:I225"/>
    <mergeCell ref="A228:I228"/>
    <mergeCell ref="A229:I229"/>
    <mergeCell ref="B221:I221"/>
    <mergeCell ref="B222:I222"/>
    <mergeCell ref="D122:I122"/>
    <mergeCell ref="B112:J112"/>
    <mergeCell ref="A115:J115"/>
    <mergeCell ref="A116:J116"/>
    <mergeCell ref="A117:J117"/>
    <mergeCell ref="A120:I120"/>
    <mergeCell ref="A206:I206"/>
    <mergeCell ref="A171:J171"/>
    <mergeCell ref="B318:I318"/>
    <mergeCell ref="B319:I319"/>
    <mergeCell ref="D267:H267"/>
    <mergeCell ref="B281:I281"/>
    <mergeCell ref="A284:J284"/>
    <mergeCell ref="D304:H304"/>
    <mergeCell ref="A289:H289"/>
    <mergeCell ref="D291:H291"/>
    <mergeCell ref="A302:G302"/>
    <mergeCell ref="A285:J285"/>
    <mergeCell ref="A286:J286"/>
    <mergeCell ref="B278:I278"/>
    <mergeCell ref="B279:I279"/>
    <mergeCell ref="A1:I1"/>
    <mergeCell ref="A2:I2"/>
    <mergeCell ref="A3:I3"/>
    <mergeCell ref="A6:I6"/>
    <mergeCell ref="D9:I9"/>
    <mergeCell ref="A192:J192"/>
    <mergeCell ref="D194:I194"/>
    <mergeCell ref="A22:I22"/>
    <mergeCell ref="D24:I24"/>
    <mergeCell ref="A42:I42"/>
    <mergeCell ref="D44:I44"/>
    <mergeCell ref="B57:I57"/>
    <mergeCell ref="D66:I66"/>
    <mergeCell ref="A79:J79"/>
    <mergeCell ref="D81:I81"/>
    <mergeCell ref="A94:I94"/>
    <mergeCell ref="D96:I96"/>
    <mergeCell ref="B109:I109"/>
    <mergeCell ref="B110:I110"/>
    <mergeCell ref="B165:I165"/>
    <mergeCell ref="M81:R81"/>
    <mergeCell ref="K291:O291"/>
    <mergeCell ref="A59:J59"/>
    <mergeCell ref="A60:J60"/>
    <mergeCell ref="A61:J61"/>
    <mergeCell ref="A64:I64"/>
    <mergeCell ref="D208:I208"/>
    <mergeCell ref="A135:I135"/>
    <mergeCell ref="D137:I137"/>
    <mergeCell ref="A150:I150"/>
    <mergeCell ref="B167:I167"/>
    <mergeCell ref="A172:J172"/>
    <mergeCell ref="A173:J173"/>
    <mergeCell ref="A176:J176"/>
    <mergeCell ref="D178:I178"/>
    <mergeCell ref="A191:J191"/>
  </mergeCells>
  <printOptions horizontalCentered="1"/>
  <pageMargins left="0.25" right="0.25" top="0.75" bottom="0.75" header="0.3" footer="0.3"/>
  <pageSetup scale="78" fitToHeight="6" orientation="portrait" horizontalDpi="1200" verticalDpi="1200" r:id="rId1"/>
  <rowBreaks count="5" manualBreakCount="5">
    <brk id="58" max="9" man="1"/>
    <brk id="113" max="9" man="1"/>
    <brk id="169" max="9" man="1"/>
    <brk id="226" max="9" man="1"/>
    <brk id="282" max="9"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AH198"/>
  <sheetViews>
    <sheetView zoomScaleNormal="100" workbookViewId="0">
      <selection sqref="A1:V1"/>
    </sheetView>
  </sheetViews>
  <sheetFormatPr defaultColWidth="9.140625" defaultRowHeight="12.75"/>
  <cols>
    <col min="1" max="1" width="20.28515625" style="154" customWidth="1"/>
    <col min="2" max="2" width="8.7109375" style="239" customWidth="1"/>
    <col min="3" max="20" width="8.7109375" style="154" customWidth="1"/>
    <col min="21" max="21" width="8.7109375" style="376" customWidth="1"/>
    <col min="22" max="22" width="15.7109375" style="154" customWidth="1"/>
    <col min="23" max="16384" width="9.140625" style="154"/>
  </cols>
  <sheetData>
    <row r="1" spans="1:22" ht="12.75" customHeight="1">
      <c r="A1" s="512" t="s">
        <v>485</v>
      </c>
      <c r="B1" s="512"/>
      <c r="C1" s="512"/>
      <c r="D1" s="512"/>
      <c r="E1" s="512"/>
      <c r="F1" s="512"/>
      <c r="G1" s="512"/>
      <c r="H1" s="512"/>
      <c r="I1" s="512"/>
      <c r="J1" s="512"/>
      <c r="K1" s="512"/>
      <c r="L1" s="512"/>
      <c r="M1" s="512"/>
      <c r="N1" s="512"/>
      <c r="O1" s="512"/>
      <c r="P1" s="512"/>
      <c r="Q1" s="512"/>
      <c r="R1" s="512"/>
      <c r="S1" s="512"/>
      <c r="T1" s="512"/>
      <c r="U1" s="512"/>
      <c r="V1" s="512"/>
    </row>
    <row r="2" spans="1:22" ht="12.75" customHeight="1">
      <c r="A2" s="248"/>
      <c r="B2" s="248"/>
      <c r="C2" s="248"/>
      <c r="D2" s="248"/>
      <c r="E2" s="248"/>
      <c r="F2" s="248"/>
      <c r="G2" s="248"/>
      <c r="H2" s="248"/>
      <c r="I2" s="248"/>
      <c r="J2" s="248"/>
      <c r="K2" s="248"/>
      <c r="L2" s="248"/>
      <c r="M2" s="248"/>
      <c r="N2" s="248"/>
      <c r="O2" s="248"/>
      <c r="P2" s="248"/>
      <c r="Q2" s="248"/>
      <c r="R2" s="248"/>
      <c r="S2" s="248"/>
      <c r="T2" s="253"/>
      <c r="U2" s="375"/>
      <c r="V2" s="253"/>
    </row>
    <row r="3" spans="1:22" ht="14.45" customHeight="1">
      <c r="A3" s="384" t="s">
        <v>67</v>
      </c>
      <c r="B3" s="544" t="s">
        <v>18</v>
      </c>
      <c r="C3" s="544"/>
      <c r="D3" s="544"/>
      <c r="E3" s="544"/>
      <c r="F3" s="544"/>
      <c r="G3" s="544"/>
      <c r="H3" s="544"/>
      <c r="I3" s="544"/>
      <c r="J3" s="544"/>
      <c r="K3" s="544"/>
      <c r="L3" s="544"/>
      <c r="M3" s="544"/>
      <c r="N3" s="544"/>
      <c r="O3" s="544"/>
      <c r="P3" s="544"/>
      <c r="Q3" s="544"/>
      <c r="R3" s="544"/>
      <c r="S3" s="544"/>
      <c r="T3" s="544"/>
      <c r="U3" s="544"/>
      <c r="V3" s="544"/>
    </row>
    <row r="4" spans="1:22" ht="12" customHeight="1">
      <c r="A4" s="26" t="s">
        <v>19</v>
      </c>
      <c r="B4" s="425" t="s">
        <v>435</v>
      </c>
      <c r="C4" s="425" t="s">
        <v>436</v>
      </c>
      <c r="D4" s="425" t="s">
        <v>437</v>
      </c>
      <c r="E4" s="425" t="s">
        <v>438</v>
      </c>
      <c r="F4" s="425" t="s">
        <v>439</v>
      </c>
      <c r="G4" s="425" t="s">
        <v>440</v>
      </c>
      <c r="H4" s="425" t="s">
        <v>441</v>
      </c>
      <c r="I4" s="425" t="s">
        <v>442</v>
      </c>
      <c r="J4" s="425" t="s">
        <v>443</v>
      </c>
      <c r="K4" s="425" t="s">
        <v>444</v>
      </c>
      <c r="L4" s="425" t="s">
        <v>445</v>
      </c>
      <c r="M4" s="425" t="s">
        <v>446</v>
      </c>
      <c r="N4" s="425" t="s">
        <v>447</v>
      </c>
      <c r="O4" s="425" t="s">
        <v>448</v>
      </c>
      <c r="P4" s="425" t="s">
        <v>449</v>
      </c>
      <c r="Q4" s="425" t="s">
        <v>450</v>
      </c>
      <c r="R4" s="425" t="s">
        <v>451</v>
      </c>
      <c r="S4" s="425" t="s">
        <v>452</v>
      </c>
      <c r="T4" s="425" t="s">
        <v>453</v>
      </c>
      <c r="U4" s="425" t="s">
        <v>454</v>
      </c>
      <c r="V4" s="425" t="s">
        <v>486</v>
      </c>
    </row>
    <row r="5" spans="1:22" s="318" customFormat="1" ht="12" customHeight="1">
      <c r="A5" s="12">
        <v>1992</v>
      </c>
      <c r="B5" s="408" t="s">
        <v>36</v>
      </c>
      <c r="C5" s="408" t="s">
        <v>36</v>
      </c>
      <c r="D5" s="408" t="s">
        <v>36</v>
      </c>
      <c r="E5" s="408" t="s">
        <v>36</v>
      </c>
      <c r="F5" s="408" t="s">
        <v>36</v>
      </c>
      <c r="G5" s="408" t="s">
        <v>36</v>
      </c>
      <c r="H5" s="408" t="s">
        <v>36</v>
      </c>
      <c r="I5" s="408" t="s">
        <v>36</v>
      </c>
      <c r="J5" s="408" t="s">
        <v>36</v>
      </c>
      <c r="K5" s="408" t="s">
        <v>36</v>
      </c>
      <c r="L5" s="408" t="s">
        <v>36</v>
      </c>
      <c r="M5" s="408" t="s">
        <v>36</v>
      </c>
      <c r="N5" s="408" t="s">
        <v>36</v>
      </c>
      <c r="O5" s="408" t="s">
        <v>36</v>
      </c>
      <c r="P5" s="408" t="s">
        <v>36</v>
      </c>
      <c r="Q5" s="408" t="s">
        <v>36</v>
      </c>
      <c r="R5" s="408">
        <v>1.0069999999999999</v>
      </c>
      <c r="S5" s="408">
        <v>1.0069999999999999</v>
      </c>
      <c r="T5" s="408">
        <v>1</v>
      </c>
      <c r="U5" s="408">
        <v>1.0069999999999999</v>
      </c>
      <c r="V5" s="408">
        <v>1.06</v>
      </c>
    </row>
    <row r="6" spans="1:22" s="318" customFormat="1" ht="12" customHeight="1">
      <c r="A6" s="12">
        <v>1993</v>
      </c>
      <c r="B6" s="408" t="s">
        <v>36</v>
      </c>
      <c r="C6" s="408" t="s">
        <v>36</v>
      </c>
      <c r="D6" s="408" t="s">
        <v>36</v>
      </c>
      <c r="E6" s="408" t="s">
        <v>36</v>
      </c>
      <c r="F6" s="408" t="s">
        <v>36</v>
      </c>
      <c r="G6" s="408" t="s">
        <v>36</v>
      </c>
      <c r="H6" s="408" t="s">
        <v>36</v>
      </c>
      <c r="I6" s="408" t="s">
        <v>36</v>
      </c>
      <c r="J6" s="408" t="s">
        <v>36</v>
      </c>
      <c r="K6" s="408" t="s">
        <v>36</v>
      </c>
      <c r="L6" s="408" t="s">
        <v>36</v>
      </c>
      <c r="M6" s="408" t="s">
        <v>36</v>
      </c>
      <c r="N6" s="408" t="s">
        <v>36</v>
      </c>
      <c r="O6" s="408" t="s">
        <v>36</v>
      </c>
      <c r="P6" s="408" t="s">
        <v>36</v>
      </c>
      <c r="Q6" s="408">
        <v>1.0109999999999999</v>
      </c>
      <c r="R6" s="408">
        <v>1.0109999999999999</v>
      </c>
      <c r="S6" s="408">
        <v>1.0109999999999999</v>
      </c>
      <c r="T6" s="408">
        <v>1.0089999999999999</v>
      </c>
      <c r="U6" s="408">
        <v>1.0129999999999999</v>
      </c>
      <c r="V6" s="408">
        <v>1.0920000000000001</v>
      </c>
    </row>
    <row r="7" spans="1:22" ht="12" customHeight="1">
      <c r="A7" s="12">
        <v>1994</v>
      </c>
      <c r="B7" s="408" t="s">
        <v>36</v>
      </c>
      <c r="C7" s="408" t="s">
        <v>36</v>
      </c>
      <c r="D7" s="408" t="s">
        <v>36</v>
      </c>
      <c r="E7" s="408" t="s">
        <v>36</v>
      </c>
      <c r="F7" s="408" t="s">
        <v>36</v>
      </c>
      <c r="G7" s="408" t="s">
        <v>36</v>
      </c>
      <c r="H7" s="408" t="s">
        <v>36</v>
      </c>
      <c r="I7" s="408" t="s">
        <v>36</v>
      </c>
      <c r="J7" s="408" t="s">
        <v>36</v>
      </c>
      <c r="K7" s="408" t="s">
        <v>36</v>
      </c>
      <c r="L7" s="408" t="s">
        <v>36</v>
      </c>
      <c r="M7" s="408" t="s">
        <v>36</v>
      </c>
      <c r="N7" s="408" t="s">
        <v>36</v>
      </c>
      <c r="O7" s="408" t="s">
        <v>36</v>
      </c>
      <c r="P7" s="408">
        <v>1.012</v>
      </c>
      <c r="Q7" s="408">
        <v>1.0129999999999999</v>
      </c>
      <c r="R7" s="408">
        <v>1.0089999999999999</v>
      </c>
      <c r="S7" s="408">
        <v>1.0089999999999999</v>
      </c>
      <c r="T7" s="408">
        <v>1.012</v>
      </c>
      <c r="U7" s="408">
        <v>1.01</v>
      </c>
      <c r="V7" s="408">
        <v>1.097</v>
      </c>
    </row>
    <row r="8" spans="1:22" ht="12" customHeight="1">
      <c r="A8" s="12">
        <v>1995</v>
      </c>
      <c r="B8" s="408" t="s">
        <v>36</v>
      </c>
      <c r="C8" s="408" t="s">
        <v>36</v>
      </c>
      <c r="D8" s="408" t="s">
        <v>36</v>
      </c>
      <c r="E8" s="408" t="s">
        <v>36</v>
      </c>
      <c r="F8" s="408" t="s">
        <v>36</v>
      </c>
      <c r="G8" s="408" t="s">
        <v>36</v>
      </c>
      <c r="H8" s="408" t="s">
        <v>36</v>
      </c>
      <c r="I8" s="408" t="s">
        <v>36</v>
      </c>
      <c r="J8" s="408" t="s">
        <v>36</v>
      </c>
      <c r="K8" s="408" t="s">
        <v>36</v>
      </c>
      <c r="L8" s="408" t="s">
        <v>36</v>
      </c>
      <c r="M8" s="408" t="s">
        <v>36</v>
      </c>
      <c r="N8" s="408" t="s">
        <v>36</v>
      </c>
      <c r="O8" s="408">
        <v>1.018</v>
      </c>
      <c r="P8" s="408">
        <v>1.0169999999999999</v>
      </c>
      <c r="Q8" s="408">
        <v>1.0129999999999999</v>
      </c>
      <c r="R8" s="408">
        <v>1.012</v>
      </c>
      <c r="S8" s="408">
        <v>1.016</v>
      </c>
      <c r="T8" s="408">
        <v>1.0129999999999999</v>
      </c>
      <c r="U8" s="408">
        <v>1.0109999999999999</v>
      </c>
      <c r="V8" s="408">
        <v>1.099</v>
      </c>
    </row>
    <row r="9" spans="1:22" ht="12" customHeight="1">
      <c r="A9" s="12">
        <v>1996</v>
      </c>
      <c r="B9" s="408" t="s">
        <v>36</v>
      </c>
      <c r="C9" s="408" t="s">
        <v>36</v>
      </c>
      <c r="D9" s="408" t="s">
        <v>36</v>
      </c>
      <c r="E9" s="408" t="s">
        <v>36</v>
      </c>
      <c r="F9" s="408" t="s">
        <v>36</v>
      </c>
      <c r="G9" s="408" t="s">
        <v>36</v>
      </c>
      <c r="H9" s="408" t="s">
        <v>36</v>
      </c>
      <c r="I9" s="408" t="s">
        <v>36</v>
      </c>
      <c r="J9" s="408" t="s">
        <v>36</v>
      </c>
      <c r="K9" s="408" t="s">
        <v>36</v>
      </c>
      <c r="L9" s="408" t="s">
        <v>36</v>
      </c>
      <c r="M9" s="408" t="s">
        <v>36</v>
      </c>
      <c r="N9" s="408">
        <v>1.022</v>
      </c>
      <c r="O9" s="408">
        <v>1.014</v>
      </c>
      <c r="P9" s="408">
        <v>1.014</v>
      </c>
      <c r="Q9" s="408">
        <v>1.014</v>
      </c>
      <c r="R9" s="408">
        <v>1.014</v>
      </c>
      <c r="S9" s="408">
        <v>1.014</v>
      </c>
      <c r="T9" s="408">
        <v>1.01</v>
      </c>
      <c r="U9" s="408">
        <v>1.0069999999999999</v>
      </c>
      <c r="V9" s="408">
        <v>1.0860000000000001</v>
      </c>
    </row>
    <row r="10" spans="1:22" ht="12" customHeight="1">
      <c r="A10" s="12">
        <v>1997</v>
      </c>
      <c r="B10" s="408" t="s">
        <v>36</v>
      </c>
      <c r="C10" s="408" t="s">
        <v>36</v>
      </c>
      <c r="D10" s="408" t="s">
        <v>36</v>
      </c>
      <c r="E10" s="408" t="s">
        <v>36</v>
      </c>
      <c r="F10" s="408" t="s">
        <v>36</v>
      </c>
      <c r="G10" s="408" t="s">
        <v>36</v>
      </c>
      <c r="H10" s="408" t="s">
        <v>36</v>
      </c>
      <c r="I10" s="408" t="s">
        <v>36</v>
      </c>
      <c r="J10" s="408" t="s">
        <v>36</v>
      </c>
      <c r="K10" s="408" t="s">
        <v>36</v>
      </c>
      <c r="L10" s="408" t="s">
        <v>36</v>
      </c>
      <c r="M10" s="408">
        <v>1.02</v>
      </c>
      <c r="N10" s="408">
        <v>1.0189999999999999</v>
      </c>
      <c r="O10" s="408">
        <v>1.014</v>
      </c>
      <c r="P10" s="408">
        <v>1.014</v>
      </c>
      <c r="Q10" s="408">
        <v>1.0149999999999999</v>
      </c>
      <c r="R10" s="408">
        <v>1.0129999999999999</v>
      </c>
      <c r="S10" s="408">
        <v>1.01</v>
      </c>
      <c r="T10" s="408">
        <v>1.006</v>
      </c>
      <c r="U10" s="408">
        <v>1.006</v>
      </c>
      <c r="V10" s="408">
        <v>1.077</v>
      </c>
    </row>
    <row r="11" spans="1:22" ht="12" customHeight="1">
      <c r="A11" s="12">
        <v>1998</v>
      </c>
      <c r="B11" s="408" t="s">
        <v>36</v>
      </c>
      <c r="C11" s="408" t="s">
        <v>36</v>
      </c>
      <c r="D11" s="408" t="s">
        <v>36</v>
      </c>
      <c r="E11" s="408" t="s">
        <v>36</v>
      </c>
      <c r="F11" s="408" t="s">
        <v>36</v>
      </c>
      <c r="G11" s="408" t="s">
        <v>36</v>
      </c>
      <c r="H11" s="408" t="s">
        <v>36</v>
      </c>
      <c r="I11" s="408" t="s">
        <v>36</v>
      </c>
      <c r="J11" s="408" t="s">
        <v>36</v>
      </c>
      <c r="K11" s="408" t="s">
        <v>36</v>
      </c>
      <c r="L11" s="408">
        <v>1.0269999999999999</v>
      </c>
      <c r="M11" s="408">
        <v>1.0209999999999999</v>
      </c>
      <c r="N11" s="408">
        <v>1.0169999999999999</v>
      </c>
      <c r="O11" s="408">
        <v>1.0189999999999999</v>
      </c>
      <c r="P11" s="408">
        <v>1.018</v>
      </c>
      <c r="Q11" s="408">
        <v>1.0169999999999999</v>
      </c>
      <c r="R11" s="408">
        <v>1.0129999999999999</v>
      </c>
      <c r="S11" s="408">
        <v>1.01</v>
      </c>
      <c r="T11" s="408">
        <v>1.0069999999999999</v>
      </c>
      <c r="U11" s="408">
        <v>1.008</v>
      </c>
      <c r="V11" s="408">
        <v>1.0820000000000001</v>
      </c>
    </row>
    <row r="12" spans="1:22" ht="12" customHeight="1">
      <c r="A12" s="12">
        <v>1999</v>
      </c>
      <c r="B12" s="408" t="s">
        <v>36</v>
      </c>
      <c r="C12" s="408" t="s">
        <v>36</v>
      </c>
      <c r="D12" s="408" t="s">
        <v>36</v>
      </c>
      <c r="E12" s="408" t="s">
        <v>36</v>
      </c>
      <c r="F12" s="408" t="s">
        <v>36</v>
      </c>
      <c r="G12" s="408" t="s">
        <v>36</v>
      </c>
      <c r="H12" s="408" t="s">
        <v>36</v>
      </c>
      <c r="I12" s="408" t="s">
        <v>36</v>
      </c>
      <c r="J12" s="408" t="s">
        <v>36</v>
      </c>
      <c r="K12" s="408">
        <v>1.03</v>
      </c>
      <c r="L12" s="408">
        <v>1.0249999999999999</v>
      </c>
      <c r="M12" s="408">
        <v>1.02</v>
      </c>
      <c r="N12" s="408">
        <v>1.016</v>
      </c>
      <c r="O12" s="408">
        <v>1.018</v>
      </c>
      <c r="P12" s="408">
        <v>1.018</v>
      </c>
      <c r="Q12" s="408">
        <v>1.014</v>
      </c>
      <c r="R12" s="408">
        <v>1.012</v>
      </c>
      <c r="S12" s="408">
        <v>1.0089999999999999</v>
      </c>
      <c r="T12" s="408">
        <v>1.0089999999999999</v>
      </c>
      <c r="U12" s="408" t="s">
        <v>36</v>
      </c>
      <c r="V12" s="408" t="s">
        <v>36</v>
      </c>
    </row>
    <row r="13" spans="1:22" ht="12" customHeight="1">
      <c r="A13" s="12">
        <v>2000</v>
      </c>
      <c r="B13" s="408" t="s">
        <v>36</v>
      </c>
      <c r="C13" s="408" t="s">
        <v>36</v>
      </c>
      <c r="D13" s="408" t="s">
        <v>36</v>
      </c>
      <c r="E13" s="408" t="s">
        <v>36</v>
      </c>
      <c r="F13" s="408" t="s">
        <v>36</v>
      </c>
      <c r="G13" s="408" t="s">
        <v>36</v>
      </c>
      <c r="H13" s="408" t="s">
        <v>36</v>
      </c>
      <c r="I13" s="408" t="s">
        <v>36</v>
      </c>
      <c r="J13" s="408">
        <v>1.03</v>
      </c>
      <c r="K13" s="408">
        <v>1.026</v>
      </c>
      <c r="L13" s="408">
        <v>1.022</v>
      </c>
      <c r="M13" s="408">
        <v>1.02</v>
      </c>
      <c r="N13" s="408">
        <v>1.0209999999999999</v>
      </c>
      <c r="O13" s="408">
        <v>1.016</v>
      </c>
      <c r="P13" s="408">
        <v>1.012</v>
      </c>
      <c r="Q13" s="408">
        <v>1.0109999999999999</v>
      </c>
      <c r="R13" s="408">
        <v>1.008</v>
      </c>
      <c r="S13" s="408">
        <v>1.008</v>
      </c>
      <c r="T13" s="408" t="s">
        <v>36</v>
      </c>
      <c r="U13" s="408" t="s">
        <v>36</v>
      </c>
      <c r="V13" s="408" t="s">
        <v>36</v>
      </c>
    </row>
    <row r="14" spans="1:22" ht="12" customHeight="1">
      <c r="A14" s="12">
        <v>2001</v>
      </c>
      <c r="B14" s="408" t="s">
        <v>36</v>
      </c>
      <c r="C14" s="408" t="s">
        <v>36</v>
      </c>
      <c r="D14" s="408" t="s">
        <v>36</v>
      </c>
      <c r="E14" s="408" t="s">
        <v>36</v>
      </c>
      <c r="F14" s="408" t="s">
        <v>36</v>
      </c>
      <c r="G14" s="408" t="s">
        <v>36</v>
      </c>
      <c r="H14" s="408" t="s">
        <v>36</v>
      </c>
      <c r="I14" s="408">
        <v>1.0369999999999999</v>
      </c>
      <c r="J14" s="408">
        <v>1.0329999999999999</v>
      </c>
      <c r="K14" s="408">
        <v>1.026</v>
      </c>
      <c r="L14" s="408">
        <v>1.022</v>
      </c>
      <c r="M14" s="408">
        <v>1.026</v>
      </c>
      <c r="N14" s="408">
        <v>1.0189999999999999</v>
      </c>
      <c r="O14" s="408">
        <v>1.0169999999999999</v>
      </c>
      <c r="P14" s="408">
        <v>1.012</v>
      </c>
      <c r="Q14" s="408">
        <v>1.01</v>
      </c>
      <c r="R14" s="408">
        <v>1.01</v>
      </c>
      <c r="S14" s="408" t="s">
        <v>36</v>
      </c>
      <c r="T14" s="408" t="s">
        <v>36</v>
      </c>
      <c r="U14" s="408" t="s">
        <v>36</v>
      </c>
      <c r="V14" s="408" t="s">
        <v>36</v>
      </c>
    </row>
    <row r="15" spans="1:22" ht="12" customHeight="1">
      <c r="A15" s="12">
        <v>2002</v>
      </c>
      <c r="B15" s="408" t="s">
        <v>36</v>
      </c>
      <c r="C15" s="408" t="s">
        <v>36</v>
      </c>
      <c r="D15" s="408" t="s">
        <v>36</v>
      </c>
      <c r="E15" s="408" t="s">
        <v>36</v>
      </c>
      <c r="F15" s="408" t="s">
        <v>36</v>
      </c>
      <c r="G15" s="408" t="s">
        <v>36</v>
      </c>
      <c r="H15" s="408">
        <v>1.0429999999999999</v>
      </c>
      <c r="I15" s="408">
        <v>1.032</v>
      </c>
      <c r="J15" s="408">
        <v>1.0269999999999999</v>
      </c>
      <c r="K15" s="408">
        <v>1.024</v>
      </c>
      <c r="L15" s="408">
        <v>1.026</v>
      </c>
      <c r="M15" s="408">
        <v>1.018</v>
      </c>
      <c r="N15" s="408">
        <v>1.0149999999999999</v>
      </c>
      <c r="O15" s="408">
        <v>1.0109999999999999</v>
      </c>
      <c r="P15" s="408">
        <v>1.0109999999999999</v>
      </c>
      <c r="Q15" s="408">
        <v>1.0089999999999999</v>
      </c>
      <c r="R15" s="408" t="s">
        <v>36</v>
      </c>
      <c r="S15" s="408" t="s">
        <v>36</v>
      </c>
      <c r="T15" s="408" t="s">
        <v>36</v>
      </c>
      <c r="U15" s="408" t="s">
        <v>36</v>
      </c>
      <c r="V15" s="408" t="s">
        <v>36</v>
      </c>
    </row>
    <row r="16" spans="1:22" ht="12" customHeight="1">
      <c r="A16" s="12">
        <v>2003</v>
      </c>
      <c r="B16" s="408" t="s">
        <v>36</v>
      </c>
      <c r="C16" s="408" t="s">
        <v>36</v>
      </c>
      <c r="D16" s="408" t="s">
        <v>36</v>
      </c>
      <c r="E16" s="408" t="s">
        <v>36</v>
      </c>
      <c r="F16" s="408" t="s">
        <v>36</v>
      </c>
      <c r="G16" s="408">
        <v>1.0549999999999999</v>
      </c>
      <c r="H16" s="408">
        <v>1.0449999999999999</v>
      </c>
      <c r="I16" s="408">
        <v>1.0329999999999999</v>
      </c>
      <c r="J16" s="408">
        <v>1.0289999999999999</v>
      </c>
      <c r="K16" s="408">
        <v>1.0329999999999999</v>
      </c>
      <c r="L16" s="408">
        <v>1.0249999999999999</v>
      </c>
      <c r="M16" s="408">
        <v>1.018</v>
      </c>
      <c r="N16" s="408">
        <v>1.0149999999999999</v>
      </c>
      <c r="O16" s="408">
        <v>1.012</v>
      </c>
      <c r="P16" s="408">
        <v>1.0109999999999999</v>
      </c>
      <c r="Q16" s="408" t="s">
        <v>36</v>
      </c>
      <c r="R16" s="408" t="s">
        <v>36</v>
      </c>
      <c r="S16" s="408" t="s">
        <v>36</v>
      </c>
      <c r="T16" s="408" t="s">
        <v>36</v>
      </c>
      <c r="U16" s="408" t="s">
        <v>36</v>
      </c>
      <c r="V16" s="408" t="s">
        <v>36</v>
      </c>
    </row>
    <row r="17" spans="1:22" ht="12" customHeight="1">
      <c r="A17" s="12">
        <v>2004</v>
      </c>
      <c r="B17" s="408" t="s">
        <v>36</v>
      </c>
      <c r="C17" s="408" t="s">
        <v>36</v>
      </c>
      <c r="D17" s="408" t="s">
        <v>36</v>
      </c>
      <c r="E17" s="408" t="s">
        <v>36</v>
      </c>
      <c r="F17" s="408">
        <v>1.0860000000000001</v>
      </c>
      <c r="G17" s="408">
        <v>1.0660000000000001</v>
      </c>
      <c r="H17" s="408">
        <v>1.0469999999999999</v>
      </c>
      <c r="I17" s="408">
        <v>1.0389999999999999</v>
      </c>
      <c r="J17" s="408">
        <v>1.0409999999999999</v>
      </c>
      <c r="K17" s="408">
        <v>1.0309999999999999</v>
      </c>
      <c r="L17" s="408">
        <v>1.022</v>
      </c>
      <c r="M17" s="408">
        <v>1.0169999999999999</v>
      </c>
      <c r="N17" s="408">
        <v>1.014</v>
      </c>
      <c r="O17" s="408">
        <v>1.0109999999999999</v>
      </c>
      <c r="P17" s="408" t="s">
        <v>36</v>
      </c>
      <c r="Q17" s="408" t="s">
        <v>36</v>
      </c>
      <c r="R17" s="408" t="s">
        <v>36</v>
      </c>
      <c r="S17" s="408" t="s">
        <v>36</v>
      </c>
      <c r="T17" s="408" t="s">
        <v>36</v>
      </c>
      <c r="U17" s="408" t="s">
        <v>36</v>
      </c>
      <c r="V17" s="408" t="s">
        <v>36</v>
      </c>
    </row>
    <row r="18" spans="1:22" ht="12" customHeight="1">
      <c r="A18" s="12">
        <v>2005</v>
      </c>
      <c r="B18" s="408" t="s">
        <v>36</v>
      </c>
      <c r="C18" s="408" t="s">
        <v>36</v>
      </c>
      <c r="D18" s="408" t="s">
        <v>36</v>
      </c>
      <c r="E18" s="408">
        <v>1.123</v>
      </c>
      <c r="F18" s="408">
        <v>1.091</v>
      </c>
      <c r="G18" s="408">
        <v>1.0629999999999999</v>
      </c>
      <c r="H18" s="408">
        <v>1.0529999999999999</v>
      </c>
      <c r="I18" s="408">
        <v>1.0509999999999999</v>
      </c>
      <c r="J18" s="408">
        <v>1.0369999999999999</v>
      </c>
      <c r="K18" s="408">
        <v>1.0289999999999999</v>
      </c>
      <c r="L18" s="408">
        <v>1.02</v>
      </c>
      <c r="M18" s="408">
        <v>1.0169999999999999</v>
      </c>
      <c r="N18" s="408">
        <v>1.0129999999999999</v>
      </c>
      <c r="O18" s="408" t="s">
        <v>36</v>
      </c>
      <c r="P18" s="408" t="s">
        <v>36</v>
      </c>
      <c r="Q18" s="408" t="s">
        <v>36</v>
      </c>
      <c r="R18" s="408" t="s">
        <v>36</v>
      </c>
      <c r="S18" s="408" t="s">
        <v>36</v>
      </c>
      <c r="T18" s="408" t="s">
        <v>36</v>
      </c>
      <c r="U18" s="408" t="s">
        <v>36</v>
      </c>
      <c r="V18" s="408" t="s">
        <v>36</v>
      </c>
    </row>
    <row r="19" spans="1:22" ht="12" customHeight="1">
      <c r="A19" s="12">
        <v>2006</v>
      </c>
      <c r="B19" s="408" t="s">
        <v>36</v>
      </c>
      <c r="C19" s="408" t="s">
        <v>36</v>
      </c>
      <c r="D19" s="408">
        <v>1.1950000000000001</v>
      </c>
      <c r="E19" s="408">
        <v>1.1259999999999999</v>
      </c>
      <c r="F19" s="408">
        <v>1.085</v>
      </c>
      <c r="G19" s="408">
        <v>1.0640000000000001</v>
      </c>
      <c r="H19" s="408">
        <v>1.0569999999999999</v>
      </c>
      <c r="I19" s="408">
        <v>1.04</v>
      </c>
      <c r="J19" s="408">
        <v>1.032</v>
      </c>
      <c r="K19" s="408">
        <v>1.0229999999999999</v>
      </c>
      <c r="L19" s="408">
        <v>1.018</v>
      </c>
      <c r="M19" s="408">
        <v>1.0149999999999999</v>
      </c>
      <c r="N19" s="408" t="s">
        <v>36</v>
      </c>
      <c r="O19" s="408" t="s">
        <v>36</v>
      </c>
      <c r="P19" s="408" t="s">
        <v>36</v>
      </c>
      <c r="Q19" s="408" t="s">
        <v>36</v>
      </c>
      <c r="R19" s="408" t="s">
        <v>36</v>
      </c>
      <c r="S19" s="408" t="s">
        <v>36</v>
      </c>
      <c r="T19" s="408" t="s">
        <v>36</v>
      </c>
      <c r="U19" s="408" t="s">
        <v>36</v>
      </c>
      <c r="V19" s="408" t="s">
        <v>36</v>
      </c>
    </row>
    <row r="20" spans="1:22" ht="12" customHeight="1">
      <c r="A20" s="12">
        <v>2007</v>
      </c>
      <c r="B20" s="408" t="s">
        <v>36</v>
      </c>
      <c r="C20" s="408">
        <v>1.3520000000000001</v>
      </c>
      <c r="D20" s="408">
        <v>1.2030000000000001</v>
      </c>
      <c r="E20" s="408">
        <v>1.1200000000000001</v>
      </c>
      <c r="F20" s="408">
        <v>1.0920000000000001</v>
      </c>
      <c r="G20" s="408">
        <v>1.079</v>
      </c>
      <c r="H20" s="408">
        <v>1.0509999999999999</v>
      </c>
      <c r="I20" s="408">
        <v>1.038</v>
      </c>
      <c r="J20" s="408">
        <v>1.028</v>
      </c>
      <c r="K20" s="408">
        <v>1.0209999999999999</v>
      </c>
      <c r="L20" s="408">
        <v>1.0189999999999999</v>
      </c>
      <c r="M20" s="408" t="s">
        <v>36</v>
      </c>
      <c r="N20" s="408" t="s">
        <v>36</v>
      </c>
      <c r="O20" s="408" t="s">
        <v>36</v>
      </c>
      <c r="P20" s="408" t="s">
        <v>36</v>
      </c>
      <c r="Q20" s="408" t="s">
        <v>36</v>
      </c>
      <c r="R20" s="408" t="s">
        <v>36</v>
      </c>
      <c r="S20" s="408" t="s">
        <v>36</v>
      </c>
      <c r="T20" s="408" t="s">
        <v>36</v>
      </c>
      <c r="U20" s="408" t="s">
        <v>36</v>
      </c>
      <c r="V20" s="408" t="s">
        <v>36</v>
      </c>
    </row>
    <row r="21" spans="1:22" ht="12" customHeight="1">
      <c r="A21" s="12">
        <v>2008</v>
      </c>
      <c r="B21" s="408">
        <v>1.8260000000000001</v>
      </c>
      <c r="C21" s="408">
        <v>1.359</v>
      </c>
      <c r="D21" s="408">
        <v>1.208</v>
      </c>
      <c r="E21" s="408">
        <v>1.1339999999999999</v>
      </c>
      <c r="F21" s="408">
        <v>1.0980000000000001</v>
      </c>
      <c r="G21" s="408">
        <v>1.0669999999999999</v>
      </c>
      <c r="H21" s="408">
        <v>1.0469999999999999</v>
      </c>
      <c r="I21" s="408">
        <v>1.0329999999999999</v>
      </c>
      <c r="J21" s="408">
        <v>1.024</v>
      </c>
      <c r="K21" s="408">
        <v>1.0189999999999999</v>
      </c>
      <c r="L21" s="408" t="s">
        <v>36</v>
      </c>
      <c r="M21" s="408" t="s">
        <v>36</v>
      </c>
      <c r="N21" s="408" t="s">
        <v>36</v>
      </c>
      <c r="O21" s="408" t="s">
        <v>36</v>
      </c>
      <c r="P21" s="408" t="s">
        <v>36</v>
      </c>
      <c r="Q21" s="408" t="s">
        <v>36</v>
      </c>
      <c r="R21" s="408" t="s">
        <v>36</v>
      </c>
      <c r="S21" s="408" t="s">
        <v>36</v>
      </c>
      <c r="T21" s="408" t="s">
        <v>36</v>
      </c>
      <c r="U21" s="408" t="s">
        <v>36</v>
      </c>
      <c r="V21" s="408" t="s">
        <v>36</v>
      </c>
    </row>
    <row r="22" spans="1:22" ht="12" customHeight="1">
      <c r="A22" s="12">
        <v>2009</v>
      </c>
      <c r="B22" s="408">
        <v>1.8759999999999999</v>
      </c>
      <c r="C22" s="408">
        <v>1.385</v>
      </c>
      <c r="D22" s="408">
        <v>1.2210000000000001</v>
      </c>
      <c r="E22" s="408">
        <v>1.1499999999999999</v>
      </c>
      <c r="F22" s="408">
        <v>1.095</v>
      </c>
      <c r="G22" s="408">
        <v>1.0620000000000001</v>
      </c>
      <c r="H22" s="408">
        <v>1.042</v>
      </c>
      <c r="I22" s="408">
        <v>1.0289999999999999</v>
      </c>
      <c r="J22" s="408">
        <v>1.0229999999999999</v>
      </c>
      <c r="K22" s="408" t="s">
        <v>36</v>
      </c>
      <c r="L22" s="408" t="s">
        <v>36</v>
      </c>
      <c r="M22" s="408" t="s">
        <v>36</v>
      </c>
      <c r="N22" s="408" t="s">
        <v>36</v>
      </c>
      <c r="O22" s="408" t="s">
        <v>36</v>
      </c>
      <c r="P22" s="408" t="s">
        <v>36</v>
      </c>
      <c r="Q22" s="408" t="s">
        <v>36</v>
      </c>
      <c r="R22" s="408" t="s">
        <v>36</v>
      </c>
      <c r="S22" s="408" t="s">
        <v>36</v>
      </c>
      <c r="T22" s="408" t="s">
        <v>36</v>
      </c>
      <c r="U22" s="408" t="s">
        <v>36</v>
      </c>
      <c r="V22" s="408" t="s">
        <v>36</v>
      </c>
    </row>
    <row r="23" spans="1:22" ht="12" customHeight="1">
      <c r="A23" s="12">
        <v>2010</v>
      </c>
      <c r="B23" s="408">
        <v>1.9259999999999999</v>
      </c>
      <c r="C23" s="408">
        <v>1.4019999999999999</v>
      </c>
      <c r="D23" s="408">
        <v>1.2370000000000001</v>
      </c>
      <c r="E23" s="408">
        <v>1.133</v>
      </c>
      <c r="F23" s="408">
        <v>1.087</v>
      </c>
      <c r="G23" s="408">
        <v>1.06</v>
      </c>
      <c r="H23" s="408">
        <v>1.0389999999999999</v>
      </c>
      <c r="I23" s="408">
        <v>1.026</v>
      </c>
      <c r="J23" s="408" t="s">
        <v>36</v>
      </c>
      <c r="K23" s="408" t="s">
        <v>36</v>
      </c>
      <c r="L23" s="408" t="s">
        <v>36</v>
      </c>
      <c r="M23" s="408" t="s">
        <v>36</v>
      </c>
      <c r="N23" s="408" t="s">
        <v>36</v>
      </c>
      <c r="O23" s="408" t="s">
        <v>36</v>
      </c>
      <c r="P23" s="408" t="s">
        <v>36</v>
      </c>
      <c r="Q23" s="408" t="s">
        <v>36</v>
      </c>
      <c r="R23" s="408" t="s">
        <v>36</v>
      </c>
      <c r="S23" s="408" t="s">
        <v>36</v>
      </c>
      <c r="T23" s="408" t="s">
        <v>36</v>
      </c>
      <c r="U23" s="408" t="s">
        <v>36</v>
      </c>
      <c r="V23" s="408" t="s">
        <v>36</v>
      </c>
    </row>
    <row r="24" spans="1:22" ht="12" customHeight="1">
      <c r="A24" s="12">
        <v>2011</v>
      </c>
      <c r="B24" s="408">
        <v>1.9570000000000001</v>
      </c>
      <c r="C24" s="408">
        <v>1.401</v>
      </c>
      <c r="D24" s="408">
        <v>1.2170000000000001</v>
      </c>
      <c r="E24" s="408">
        <v>1.131</v>
      </c>
      <c r="F24" s="408">
        <v>1.0820000000000001</v>
      </c>
      <c r="G24" s="408">
        <v>1.0549999999999999</v>
      </c>
      <c r="H24" s="408">
        <v>1.034</v>
      </c>
      <c r="I24" s="408" t="s">
        <v>36</v>
      </c>
      <c r="J24" s="408" t="s">
        <v>36</v>
      </c>
      <c r="K24" s="408" t="s">
        <v>36</v>
      </c>
      <c r="L24" s="408" t="s">
        <v>36</v>
      </c>
      <c r="M24" s="408" t="s">
        <v>36</v>
      </c>
      <c r="N24" s="408" t="s">
        <v>36</v>
      </c>
      <c r="O24" s="408" t="s">
        <v>36</v>
      </c>
      <c r="P24" s="408" t="s">
        <v>36</v>
      </c>
      <c r="Q24" s="408" t="s">
        <v>36</v>
      </c>
      <c r="R24" s="408" t="s">
        <v>36</v>
      </c>
      <c r="S24" s="408" t="s">
        <v>36</v>
      </c>
      <c r="T24" s="408" t="s">
        <v>36</v>
      </c>
      <c r="U24" s="408" t="s">
        <v>36</v>
      </c>
      <c r="V24" s="408" t="s">
        <v>36</v>
      </c>
    </row>
    <row r="25" spans="1:22" ht="12" customHeight="1">
      <c r="A25" s="12">
        <v>2012</v>
      </c>
      <c r="B25" s="408">
        <v>1.9830000000000001</v>
      </c>
      <c r="C25" s="408">
        <v>1.3979999999999999</v>
      </c>
      <c r="D25" s="408">
        <v>1.2130000000000001</v>
      </c>
      <c r="E25" s="408">
        <v>1.1279999999999999</v>
      </c>
      <c r="F25" s="408">
        <v>1.0760000000000001</v>
      </c>
      <c r="G25" s="408">
        <v>1.0509999999999999</v>
      </c>
      <c r="H25" s="408" t="s">
        <v>36</v>
      </c>
      <c r="I25" s="408" t="s">
        <v>36</v>
      </c>
      <c r="J25" s="408" t="s">
        <v>36</v>
      </c>
      <c r="K25" s="408" t="s">
        <v>36</v>
      </c>
      <c r="L25" s="408" t="s">
        <v>36</v>
      </c>
      <c r="M25" s="408" t="s">
        <v>36</v>
      </c>
      <c r="N25" s="408" t="s">
        <v>36</v>
      </c>
      <c r="O25" s="408" t="s">
        <v>36</v>
      </c>
      <c r="P25" s="408" t="s">
        <v>36</v>
      </c>
      <c r="Q25" s="408" t="s">
        <v>36</v>
      </c>
      <c r="R25" s="408" t="s">
        <v>36</v>
      </c>
      <c r="S25" s="408" t="s">
        <v>36</v>
      </c>
      <c r="T25" s="408" t="s">
        <v>36</v>
      </c>
      <c r="U25" s="408" t="s">
        <v>36</v>
      </c>
      <c r="V25" s="408" t="s">
        <v>36</v>
      </c>
    </row>
    <row r="26" spans="1:22" ht="12" customHeight="1">
      <c r="A26" s="12">
        <v>2013</v>
      </c>
      <c r="B26" s="408">
        <v>1.9390000000000001</v>
      </c>
      <c r="C26" s="408">
        <v>1.39</v>
      </c>
      <c r="D26" s="408">
        <v>1.206</v>
      </c>
      <c r="E26" s="408">
        <v>1.111</v>
      </c>
      <c r="F26" s="408">
        <v>1.0680000000000001</v>
      </c>
      <c r="G26" s="408" t="s">
        <v>36</v>
      </c>
      <c r="H26" s="408" t="s">
        <v>36</v>
      </c>
      <c r="I26" s="408" t="s">
        <v>36</v>
      </c>
      <c r="J26" s="408" t="s">
        <v>36</v>
      </c>
      <c r="K26" s="408" t="s">
        <v>36</v>
      </c>
      <c r="L26" s="408" t="s">
        <v>36</v>
      </c>
      <c r="M26" s="408" t="s">
        <v>36</v>
      </c>
      <c r="N26" s="408" t="s">
        <v>36</v>
      </c>
      <c r="O26" s="408" t="s">
        <v>36</v>
      </c>
      <c r="P26" s="408" t="s">
        <v>36</v>
      </c>
      <c r="Q26" s="408" t="s">
        <v>36</v>
      </c>
      <c r="R26" s="408" t="s">
        <v>36</v>
      </c>
      <c r="S26" s="408" t="s">
        <v>36</v>
      </c>
      <c r="T26" s="408" t="s">
        <v>36</v>
      </c>
      <c r="U26" s="408" t="s">
        <v>36</v>
      </c>
      <c r="V26" s="408" t="s">
        <v>36</v>
      </c>
    </row>
    <row r="27" spans="1:22" ht="12" customHeight="1">
      <c r="A27" s="12">
        <v>2014</v>
      </c>
      <c r="B27" s="408">
        <v>1.9359999999999999</v>
      </c>
      <c r="C27" s="408">
        <v>1.387</v>
      </c>
      <c r="D27" s="408">
        <v>1.194</v>
      </c>
      <c r="E27" s="408">
        <v>1.105</v>
      </c>
      <c r="F27" s="408" t="s">
        <v>36</v>
      </c>
      <c r="G27" s="408" t="s">
        <v>36</v>
      </c>
      <c r="H27" s="408" t="s">
        <v>36</v>
      </c>
      <c r="I27" s="408" t="s">
        <v>36</v>
      </c>
      <c r="J27" s="408" t="s">
        <v>36</v>
      </c>
      <c r="K27" s="408" t="s">
        <v>36</v>
      </c>
      <c r="L27" s="408" t="s">
        <v>36</v>
      </c>
      <c r="M27" s="408" t="s">
        <v>36</v>
      </c>
      <c r="N27" s="408" t="s">
        <v>36</v>
      </c>
      <c r="O27" s="408" t="s">
        <v>36</v>
      </c>
      <c r="P27" s="408" t="s">
        <v>36</v>
      </c>
      <c r="Q27" s="408" t="s">
        <v>36</v>
      </c>
      <c r="R27" s="408" t="s">
        <v>36</v>
      </c>
      <c r="S27" s="408" t="s">
        <v>36</v>
      </c>
      <c r="T27" s="408" t="s">
        <v>36</v>
      </c>
      <c r="U27" s="408" t="s">
        <v>36</v>
      </c>
      <c r="V27" s="408" t="s">
        <v>36</v>
      </c>
    </row>
    <row r="28" spans="1:22" ht="12" customHeight="1">
      <c r="A28" s="12">
        <v>2015</v>
      </c>
      <c r="B28" s="408">
        <v>1.9550000000000001</v>
      </c>
      <c r="C28" s="408">
        <v>1.359</v>
      </c>
      <c r="D28" s="408">
        <v>1.1850000000000001</v>
      </c>
      <c r="E28" s="408" t="s">
        <v>36</v>
      </c>
      <c r="F28" s="408" t="s">
        <v>36</v>
      </c>
      <c r="G28" s="408" t="s">
        <v>36</v>
      </c>
      <c r="H28" s="408" t="s">
        <v>36</v>
      </c>
      <c r="I28" s="408" t="s">
        <v>36</v>
      </c>
      <c r="J28" s="408" t="s">
        <v>36</v>
      </c>
      <c r="K28" s="408" t="s">
        <v>36</v>
      </c>
      <c r="L28" s="408" t="s">
        <v>36</v>
      </c>
      <c r="M28" s="408" t="s">
        <v>36</v>
      </c>
      <c r="N28" s="408" t="s">
        <v>36</v>
      </c>
      <c r="O28" s="408" t="s">
        <v>36</v>
      </c>
      <c r="P28" s="408" t="s">
        <v>36</v>
      </c>
      <c r="Q28" s="408" t="s">
        <v>36</v>
      </c>
      <c r="R28" s="408" t="s">
        <v>36</v>
      </c>
      <c r="S28" s="408" t="s">
        <v>36</v>
      </c>
      <c r="T28" s="408" t="s">
        <v>36</v>
      </c>
      <c r="U28" s="408" t="s">
        <v>36</v>
      </c>
      <c r="V28" s="408" t="s">
        <v>36</v>
      </c>
    </row>
    <row r="29" spans="1:22" ht="12" customHeight="1">
      <c r="A29" s="12">
        <v>2016</v>
      </c>
      <c r="B29" s="408">
        <v>1.8759999999999999</v>
      </c>
      <c r="C29" s="408">
        <v>1.34</v>
      </c>
      <c r="D29" s="408" t="s">
        <v>36</v>
      </c>
      <c r="E29" s="408" t="s">
        <v>36</v>
      </c>
      <c r="F29" s="408" t="s">
        <v>36</v>
      </c>
      <c r="G29" s="408" t="s">
        <v>36</v>
      </c>
      <c r="H29" s="408" t="s">
        <v>36</v>
      </c>
      <c r="I29" s="408" t="s">
        <v>36</v>
      </c>
      <c r="J29" s="408" t="s">
        <v>36</v>
      </c>
      <c r="K29" s="408" t="s">
        <v>36</v>
      </c>
      <c r="L29" s="408" t="s">
        <v>36</v>
      </c>
      <c r="M29" s="408" t="s">
        <v>36</v>
      </c>
      <c r="N29" s="408" t="s">
        <v>36</v>
      </c>
      <c r="O29" s="408" t="s">
        <v>36</v>
      </c>
      <c r="P29" s="408" t="s">
        <v>36</v>
      </c>
      <c r="Q29" s="408" t="s">
        <v>36</v>
      </c>
      <c r="R29" s="408" t="s">
        <v>36</v>
      </c>
      <c r="S29" s="408" t="s">
        <v>36</v>
      </c>
      <c r="T29" s="408" t="s">
        <v>36</v>
      </c>
      <c r="U29" s="408" t="s">
        <v>36</v>
      </c>
      <c r="V29" s="408" t="s">
        <v>36</v>
      </c>
    </row>
    <row r="30" spans="1:22" ht="12" customHeight="1">
      <c r="A30" s="12">
        <v>2017</v>
      </c>
      <c r="B30" s="408">
        <v>1.8380000000000001</v>
      </c>
      <c r="C30" s="408" t="s">
        <v>36</v>
      </c>
      <c r="D30" s="408" t="s">
        <v>36</v>
      </c>
      <c r="E30" s="408" t="s">
        <v>36</v>
      </c>
      <c r="F30" s="408" t="s">
        <v>36</v>
      </c>
      <c r="G30" s="408" t="s">
        <v>36</v>
      </c>
      <c r="H30" s="408" t="s">
        <v>36</v>
      </c>
      <c r="I30" s="408" t="s">
        <v>36</v>
      </c>
      <c r="J30" s="408" t="s">
        <v>36</v>
      </c>
      <c r="K30" s="408" t="s">
        <v>36</v>
      </c>
      <c r="L30" s="408" t="s">
        <v>36</v>
      </c>
      <c r="M30" s="408" t="s">
        <v>36</v>
      </c>
      <c r="N30" s="408" t="s">
        <v>36</v>
      </c>
      <c r="O30" s="408" t="s">
        <v>36</v>
      </c>
      <c r="P30" s="408" t="s">
        <v>36</v>
      </c>
      <c r="Q30" s="408" t="s">
        <v>36</v>
      </c>
      <c r="R30" s="408" t="s">
        <v>36</v>
      </c>
      <c r="S30" s="408" t="s">
        <v>36</v>
      </c>
      <c r="T30" s="408" t="s">
        <v>36</v>
      </c>
      <c r="U30" s="408" t="s">
        <v>36</v>
      </c>
      <c r="V30" s="408" t="s">
        <v>36</v>
      </c>
    </row>
    <row r="31" spans="1:22" s="239" customFormat="1" ht="12" customHeight="1">
      <c r="A31" s="1"/>
      <c r="B31" s="15"/>
      <c r="C31" s="15"/>
      <c r="D31" s="15"/>
      <c r="E31" s="15"/>
      <c r="F31" s="15"/>
      <c r="G31" s="15"/>
      <c r="H31" s="15"/>
      <c r="I31" s="15"/>
      <c r="J31" s="15"/>
      <c r="K31" s="15"/>
      <c r="L31" s="15"/>
      <c r="M31" s="15"/>
      <c r="N31" s="15"/>
      <c r="O31" s="15"/>
      <c r="P31" s="15"/>
      <c r="Q31" s="15"/>
      <c r="R31" s="15"/>
      <c r="S31" s="16"/>
      <c r="U31" s="376"/>
    </row>
    <row r="32" spans="1:22" ht="12" customHeight="1">
      <c r="A32" s="24"/>
      <c r="B32" s="24"/>
      <c r="C32" s="24"/>
      <c r="D32" s="24"/>
      <c r="E32" s="24"/>
      <c r="F32" s="24"/>
      <c r="G32" s="24"/>
      <c r="H32" s="24"/>
      <c r="I32" s="24"/>
      <c r="J32" s="24"/>
      <c r="K32" s="24"/>
      <c r="L32" s="24"/>
      <c r="M32" s="24"/>
      <c r="N32" s="24"/>
      <c r="O32" s="24"/>
      <c r="P32" s="24"/>
      <c r="Q32" s="24"/>
      <c r="R32" s="24"/>
    </row>
    <row r="33" spans="1:22" ht="12" customHeight="1">
      <c r="A33" s="12" t="s">
        <v>68</v>
      </c>
      <c r="B33" s="516" t="s">
        <v>18</v>
      </c>
      <c r="C33" s="516"/>
      <c r="D33" s="516"/>
      <c r="E33" s="516"/>
      <c r="F33" s="516"/>
      <c r="G33" s="516"/>
      <c r="H33" s="516"/>
      <c r="I33" s="516"/>
      <c r="J33" s="516"/>
      <c r="K33" s="516"/>
      <c r="L33" s="516"/>
      <c r="M33" s="516"/>
      <c r="N33" s="516"/>
      <c r="O33" s="516"/>
      <c r="P33" s="516"/>
      <c r="Q33" s="516"/>
      <c r="R33" s="516"/>
      <c r="S33" s="516"/>
      <c r="T33" s="516"/>
      <c r="U33" s="516"/>
      <c r="V33" s="516"/>
    </row>
    <row r="34" spans="1:22" ht="12" customHeight="1">
      <c r="A34" s="11" t="s">
        <v>19</v>
      </c>
      <c r="B34" s="407" t="s">
        <v>435</v>
      </c>
      <c r="C34" s="407" t="s">
        <v>436</v>
      </c>
      <c r="D34" s="407" t="s">
        <v>437</v>
      </c>
      <c r="E34" s="407" t="s">
        <v>438</v>
      </c>
      <c r="F34" s="407" t="s">
        <v>439</v>
      </c>
      <c r="G34" s="407" t="s">
        <v>440</v>
      </c>
      <c r="H34" s="407" t="s">
        <v>441</v>
      </c>
      <c r="I34" s="407" t="s">
        <v>442</v>
      </c>
      <c r="J34" s="407" t="s">
        <v>443</v>
      </c>
      <c r="K34" s="407" t="s">
        <v>444</v>
      </c>
      <c r="L34" s="407" t="s">
        <v>445</v>
      </c>
      <c r="M34" s="407" t="s">
        <v>446</v>
      </c>
      <c r="N34" s="407" t="s">
        <v>447</v>
      </c>
      <c r="O34" s="407" t="s">
        <v>448</v>
      </c>
      <c r="P34" s="407" t="s">
        <v>449</v>
      </c>
      <c r="Q34" s="407" t="s">
        <v>450</v>
      </c>
      <c r="R34" s="407" t="s">
        <v>451</v>
      </c>
      <c r="S34" s="407" t="s">
        <v>452</v>
      </c>
      <c r="T34" s="407" t="s">
        <v>453</v>
      </c>
      <c r="U34" s="407" t="s">
        <v>454</v>
      </c>
      <c r="V34" s="11" t="s">
        <v>486</v>
      </c>
    </row>
    <row r="35" spans="1:22" s="376" customFormat="1" ht="12" customHeight="1">
      <c r="A35" s="12">
        <v>1996</v>
      </c>
      <c r="B35" s="408" t="s">
        <v>36</v>
      </c>
      <c r="C35" s="408" t="s">
        <v>36</v>
      </c>
      <c r="D35" s="408" t="s">
        <v>36</v>
      </c>
      <c r="E35" s="408" t="s">
        <v>36</v>
      </c>
      <c r="F35" s="408" t="s">
        <v>36</v>
      </c>
      <c r="G35" s="408" t="s">
        <v>36</v>
      </c>
      <c r="H35" s="408" t="s">
        <v>36</v>
      </c>
      <c r="I35" s="408" t="s">
        <v>36</v>
      </c>
      <c r="J35" s="408" t="s">
        <v>36</v>
      </c>
      <c r="K35" s="408" t="s">
        <v>36</v>
      </c>
      <c r="L35" s="408" t="s">
        <v>36</v>
      </c>
      <c r="M35" s="408" t="s">
        <v>36</v>
      </c>
      <c r="N35" s="408" t="s">
        <v>36</v>
      </c>
      <c r="O35" s="408" t="s">
        <v>36</v>
      </c>
      <c r="P35" s="408" t="s">
        <v>36</v>
      </c>
      <c r="Q35" s="408" t="s">
        <v>36</v>
      </c>
      <c r="R35" s="408" t="s">
        <v>36</v>
      </c>
      <c r="S35" s="408" t="s">
        <v>36</v>
      </c>
      <c r="T35" s="408" t="s">
        <v>36</v>
      </c>
      <c r="U35" s="408">
        <v>1.008</v>
      </c>
      <c r="V35" s="13">
        <f>V9</f>
        <v>1.0860000000000001</v>
      </c>
    </row>
    <row r="36" spans="1:22" s="318" customFormat="1" ht="12" customHeight="1">
      <c r="A36" s="12">
        <v>1997</v>
      </c>
      <c r="B36" s="408" t="s">
        <v>36</v>
      </c>
      <c r="C36" s="408" t="s">
        <v>36</v>
      </c>
      <c r="D36" s="408" t="s">
        <v>36</v>
      </c>
      <c r="E36" s="408" t="s">
        <v>36</v>
      </c>
      <c r="F36" s="408" t="s">
        <v>36</v>
      </c>
      <c r="G36" s="408" t="s">
        <v>36</v>
      </c>
      <c r="H36" s="408" t="s">
        <v>36</v>
      </c>
      <c r="I36" s="408" t="s">
        <v>36</v>
      </c>
      <c r="J36" s="408" t="s">
        <v>36</v>
      </c>
      <c r="K36" s="408" t="s">
        <v>36</v>
      </c>
      <c r="L36" s="408" t="s">
        <v>36</v>
      </c>
      <c r="M36" s="408" t="s">
        <v>36</v>
      </c>
      <c r="N36" s="408" t="s">
        <v>36</v>
      </c>
      <c r="O36" s="408" t="s">
        <v>36</v>
      </c>
      <c r="P36" s="408" t="s">
        <v>36</v>
      </c>
      <c r="Q36" s="408" t="s">
        <v>36</v>
      </c>
      <c r="R36" s="408" t="s">
        <v>36</v>
      </c>
      <c r="S36" s="408" t="s">
        <v>36</v>
      </c>
      <c r="T36" s="408">
        <v>1.0069999999999999</v>
      </c>
      <c r="U36" s="408">
        <v>1.0069999999999999</v>
      </c>
      <c r="V36" s="13">
        <f t="shared" ref="V36:V37" si="0">V10</f>
        <v>1.077</v>
      </c>
    </row>
    <row r="37" spans="1:22" ht="12" customHeight="1">
      <c r="A37" s="12">
        <v>1998</v>
      </c>
      <c r="B37" s="408" t="s">
        <v>36</v>
      </c>
      <c r="C37" s="408" t="s">
        <v>36</v>
      </c>
      <c r="D37" s="408" t="s">
        <v>36</v>
      </c>
      <c r="E37" s="408" t="s">
        <v>36</v>
      </c>
      <c r="F37" s="408" t="s">
        <v>36</v>
      </c>
      <c r="G37" s="408" t="s">
        <v>36</v>
      </c>
      <c r="H37" s="408" t="s">
        <v>36</v>
      </c>
      <c r="I37" s="408" t="s">
        <v>36</v>
      </c>
      <c r="J37" s="408" t="s">
        <v>36</v>
      </c>
      <c r="K37" s="408" t="s">
        <v>36</v>
      </c>
      <c r="L37" s="408" t="s">
        <v>36</v>
      </c>
      <c r="M37" s="408" t="s">
        <v>36</v>
      </c>
      <c r="N37" s="408" t="s">
        <v>36</v>
      </c>
      <c r="O37" s="408" t="s">
        <v>36</v>
      </c>
      <c r="P37" s="408" t="s">
        <v>36</v>
      </c>
      <c r="Q37" s="408" t="s">
        <v>36</v>
      </c>
      <c r="R37" s="408" t="s">
        <v>36</v>
      </c>
      <c r="S37" s="408">
        <v>1.01</v>
      </c>
      <c r="T37" s="408">
        <v>1.008</v>
      </c>
      <c r="U37" s="408">
        <v>1.01</v>
      </c>
      <c r="V37" s="13">
        <f t="shared" si="0"/>
        <v>1.0820000000000001</v>
      </c>
    </row>
    <row r="38" spans="1:22" ht="12" customHeight="1">
      <c r="A38" s="12">
        <v>1999</v>
      </c>
      <c r="B38" s="408" t="s">
        <v>36</v>
      </c>
      <c r="C38" s="408" t="s">
        <v>36</v>
      </c>
      <c r="D38" s="408" t="s">
        <v>36</v>
      </c>
      <c r="E38" s="408" t="s">
        <v>36</v>
      </c>
      <c r="F38" s="408" t="s">
        <v>36</v>
      </c>
      <c r="G38" s="408" t="s">
        <v>36</v>
      </c>
      <c r="H38" s="408" t="s">
        <v>36</v>
      </c>
      <c r="I38" s="408" t="s">
        <v>36</v>
      </c>
      <c r="J38" s="408" t="s">
        <v>36</v>
      </c>
      <c r="K38" s="408" t="s">
        <v>36</v>
      </c>
      <c r="L38" s="408" t="s">
        <v>36</v>
      </c>
      <c r="M38" s="408" t="s">
        <v>36</v>
      </c>
      <c r="N38" s="408" t="s">
        <v>36</v>
      </c>
      <c r="O38" s="408" t="s">
        <v>36</v>
      </c>
      <c r="P38" s="408" t="s">
        <v>36</v>
      </c>
      <c r="Q38" s="408" t="s">
        <v>36</v>
      </c>
      <c r="R38" s="408">
        <v>1.012</v>
      </c>
      <c r="S38" s="408">
        <v>1.0089999999999999</v>
      </c>
      <c r="T38" s="408">
        <v>1.01</v>
      </c>
      <c r="U38" s="408" t="s">
        <v>36</v>
      </c>
      <c r="V38" s="13" t="s">
        <v>36</v>
      </c>
    </row>
    <row r="39" spans="1:22" ht="12" customHeight="1">
      <c r="A39" s="12">
        <v>2000</v>
      </c>
      <c r="B39" s="408" t="s">
        <v>36</v>
      </c>
      <c r="C39" s="408" t="s">
        <v>36</v>
      </c>
      <c r="D39" s="408" t="s">
        <v>36</v>
      </c>
      <c r="E39" s="408" t="s">
        <v>36</v>
      </c>
      <c r="F39" s="408" t="s">
        <v>36</v>
      </c>
      <c r="G39" s="408" t="s">
        <v>36</v>
      </c>
      <c r="H39" s="408" t="s">
        <v>36</v>
      </c>
      <c r="I39" s="408" t="s">
        <v>36</v>
      </c>
      <c r="J39" s="408" t="s">
        <v>36</v>
      </c>
      <c r="K39" s="408" t="s">
        <v>36</v>
      </c>
      <c r="L39" s="408" t="s">
        <v>36</v>
      </c>
      <c r="M39" s="408" t="s">
        <v>36</v>
      </c>
      <c r="N39" s="408" t="s">
        <v>36</v>
      </c>
      <c r="O39" s="408" t="s">
        <v>36</v>
      </c>
      <c r="P39" s="408" t="s">
        <v>36</v>
      </c>
      <c r="Q39" s="408">
        <v>1.0109999999999999</v>
      </c>
      <c r="R39" s="408">
        <v>1.008</v>
      </c>
      <c r="S39" s="408">
        <v>1.008</v>
      </c>
      <c r="T39" s="408" t="s">
        <v>36</v>
      </c>
      <c r="U39" s="408" t="s">
        <v>36</v>
      </c>
      <c r="V39" s="13" t="s">
        <v>36</v>
      </c>
    </row>
    <row r="40" spans="1:22" ht="12" customHeight="1">
      <c r="A40" s="12">
        <v>2001</v>
      </c>
      <c r="B40" s="408" t="s">
        <v>36</v>
      </c>
      <c r="C40" s="408" t="s">
        <v>36</v>
      </c>
      <c r="D40" s="408" t="s">
        <v>36</v>
      </c>
      <c r="E40" s="408" t="s">
        <v>36</v>
      </c>
      <c r="F40" s="408" t="s">
        <v>36</v>
      </c>
      <c r="G40" s="408" t="s">
        <v>36</v>
      </c>
      <c r="H40" s="408" t="s">
        <v>36</v>
      </c>
      <c r="I40" s="408" t="s">
        <v>36</v>
      </c>
      <c r="J40" s="408" t="s">
        <v>36</v>
      </c>
      <c r="K40" s="408" t="s">
        <v>36</v>
      </c>
      <c r="L40" s="408" t="s">
        <v>36</v>
      </c>
      <c r="M40" s="408" t="s">
        <v>36</v>
      </c>
      <c r="N40" s="408" t="s">
        <v>36</v>
      </c>
      <c r="O40" s="408" t="s">
        <v>36</v>
      </c>
      <c r="P40" s="408">
        <v>1.0129999999999999</v>
      </c>
      <c r="Q40" s="408">
        <v>1.0109999999999999</v>
      </c>
      <c r="R40" s="408">
        <v>1.0109999999999999</v>
      </c>
      <c r="S40" s="408" t="s">
        <v>36</v>
      </c>
      <c r="T40" s="408" t="s">
        <v>36</v>
      </c>
      <c r="U40" s="408" t="s">
        <v>36</v>
      </c>
      <c r="V40" s="13" t="s">
        <v>36</v>
      </c>
    </row>
    <row r="41" spans="1:22" ht="12" customHeight="1">
      <c r="A41" s="12">
        <v>2002</v>
      </c>
      <c r="B41" s="408" t="s">
        <v>36</v>
      </c>
      <c r="C41" s="408" t="s">
        <v>36</v>
      </c>
      <c r="D41" s="408" t="s">
        <v>36</v>
      </c>
      <c r="E41" s="408" t="s">
        <v>36</v>
      </c>
      <c r="F41" s="408" t="s">
        <v>36</v>
      </c>
      <c r="G41" s="408" t="s">
        <v>36</v>
      </c>
      <c r="H41" s="408" t="s">
        <v>36</v>
      </c>
      <c r="I41" s="408" t="s">
        <v>36</v>
      </c>
      <c r="J41" s="408" t="s">
        <v>36</v>
      </c>
      <c r="K41" s="408" t="s">
        <v>36</v>
      </c>
      <c r="L41" s="408" t="s">
        <v>36</v>
      </c>
      <c r="M41" s="408" t="s">
        <v>36</v>
      </c>
      <c r="N41" s="408" t="s">
        <v>36</v>
      </c>
      <c r="O41" s="408">
        <v>1.012</v>
      </c>
      <c r="P41" s="408">
        <v>1.012</v>
      </c>
      <c r="Q41" s="408">
        <v>1.01</v>
      </c>
      <c r="R41" s="408" t="s">
        <v>36</v>
      </c>
      <c r="S41" s="408" t="s">
        <v>36</v>
      </c>
      <c r="T41" s="408" t="s">
        <v>36</v>
      </c>
      <c r="U41" s="408" t="s">
        <v>36</v>
      </c>
    </row>
    <row r="42" spans="1:22" ht="12" customHeight="1">
      <c r="A42" s="12">
        <v>2003</v>
      </c>
      <c r="B42" s="408" t="s">
        <v>36</v>
      </c>
      <c r="C42" s="408" t="s">
        <v>36</v>
      </c>
      <c r="D42" s="408" t="s">
        <v>36</v>
      </c>
      <c r="E42" s="408" t="s">
        <v>36</v>
      </c>
      <c r="F42" s="408" t="s">
        <v>36</v>
      </c>
      <c r="G42" s="408" t="s">
        <v>36</v>
      </c>
      <c r="H42" s="408" t="s">
        <v>36</v>
      </c>
      <c r="I42" s="408" t="s">
        <v>36</v>
      </c>
      <c r="J42" s="408" t="s">
        <v>36</v>
      </c>
      <c r="K42" s="408" t="s">
        <v>36</v>
      </c>
      <c r="L42" s="408" t="s">
        <v>36</v>
      </c>
      <c r="M42" s="408" t="s">
        <v>36</v>
      </c>
      <c r="N42" s="408">
        <v>1.016</v>
      </c>
      <c r="O42" s="408">
        <v>1.0129999999999999</v>
      </c>
      <c r="P42" s="408">
        <v>1.012</v>
      </c>
      <c r="Q42" s="408" t="s">
        <v>36</v>
      </c>
      <c r="R42" s="408" t="s">
        <v>36</v>
      </c>
      <c r="S42" s="408" t="s">
        <v>36</v>
      </c>
      <c r="T42" s="408" t="s">
        <v>36</v>
      </c>
      <c r="U42" s="408" t="s">
        <v>36</v>
      </c>
    </row>
    <row r="43" spans="1:22" ht="12" customHeight="1">
      <c r="A43" s="12">
        <v>2004</v>
      </c>
      <c r="B43" s="408" t="s">
        <v>36</v>
      </c>
      <c r="C43" s="408" t="s">
        <v>36</v>
      </c>
      <c r="D43" s="408" t="s">
        <v>36</v>
      </c>
      <c r="E43" s="408" t="s">
        <v>36</v>
      </c>
      <c r="F43" s="408" t="s">
        <v>36</v>
      </c>
      <c r="G43" s="408" t="s">
        <v>36</v>
      </c>
      <c r="H43" s="408" t="s">
        <v>36</v>
      </c>
      <c r="I43" s="408" t="s">
        <v>36</v>
      </c>
      <c r="J43" s="408" t="s">
        <v>36</v>
      </c>
      <c r="K43" s="408" t="s">
        <v>36</v>
      </c>
      <c r="L43" s="408" t="s">
        <v>36</v>
      </c>
      <c r="M43" s="408">
        <v>1.018</v>
      </c>
      <c r="N43" s="408">
        <v>1.0149999999999999</v>
      </c>
      <c r="O43" s="408">
        <v>1.0129999999999999</v>
      </c>
      <c r="P43" s="408" t="s">
        <v>36</v>
      </c>
      <c r="Q43" s="408" t="s">
        <v>36</v>
      </c>
      <c r="R43" s="408" t="s">
        <v>36</v>
      </c>
      <c r="S43" s="408" t="s">
        <v>36</v>
      </c>
      <c r="T43" s="408" t="s">
        <v>36</v>
      </c>
      <c r="U43" s="408" t="s">
        <v>36</v>
      </c>
    </row>
    <row r="44" spans="1:22" ht="12" customHeight="1">
      <c r="A44" s="12">
        <v>2005</v>
      </c>
      <c r="B44" s="408" t="s">
        <v>36</v>
      </c>
      <c r="C44" s="408" t="s">
        <v>36</v>
      </c>
      <c r="D44" s="408" t="s">
        <v>36</v>
      </c>
      <c r="E44" s="408" t="s">
        <v>36</v>
      </c>
      <c r="F44" s="408" t="s">
        <v>36</v>
      </c>
      <c r="G44" s="408" t="s">
        <v>36</v>
      </c>
      <c r="H44" s="408" t="s">
        <v>36</v>
      </c>
      <c r="I44" s="408" t="s">
        <v>36</v>
      </c>
      <c r="J44" s="408" t="s">
        <v>36</v>
      </c>
      <c r="K44" s="408" t="s">
        <v>36</v>
      </c>
      <c r="L44" s="408">
        <v>1.0209999999999999</v>
      </c>
      <c r="M44" s="408">
        <v>1.0189999999999999</v>
      </c>
      <c r="N44" s="408">
        <v>1.0149999999999999</v>
      </c>
      <c r="O44" s="408" t="s">
        <v>36</v>
      </c>
      <c r="P44" s="408" t="s">
        <v>36</v>
      </c>
      <c r="Q44" s="408" t="s">
        <v>36</v>
      </c>
      <c r="R44" s="408" t="s">
        <v>36</v>
      </c>
      <c r="S44" s="408" t="s">
        <v>36</v>
      </c>
      <c r="T44" s="408" t="s">
        <v>36</v>
      </c>
      <c r="U44" s="408" t="s">
        <v>36</v>
      </c>
    </row>
    <row r="45" spans="1:22" ht="12" customHeight="1">
      <c r="A45" s="12">
        <v>2006</v>
      </c>
      <c r="B45" s="408" t="s">
        <v>36</v>
      </c>
      <c r="C45" s="408" t="s">
        <v>36</v>
      </c>
      <c r="D45" s="408" t="s">
        <v>36</v>
      </c>
      <c r="E45" s="408" t="s">
        <v>36</v>
      </c>
      <c r="F45" s="408" t="s">
        <v>36</v>
      </c>
      <c r="G45" s="408" t="s">
        <v>36</v>
      </c>
      <c r="H45" s="408" t="s">
        <v>36</v>
      </c>
      <c r="I45" s="408" t="s">
        <v>36</v>
      </c>
      <c r="J45" s="408" t="s">
        <v>36</v>
      </c>
      <c r="K45" s="408">
        <v>1.024</v>
      </c>
      <c r="L45" s="408">
        <v>1.02</v>
      </c>
      <c r="M45" s="408">
        <v>1.016</v>
      </c>
      <c r="N45" s="408" t="s">
        <v>36</v>
      </c>
      <c r="O45" s="408" t="s">
        <v>36</v>
      </c>
      <c r="P45" s="408" t="s">
        <v>36</v>
      </c>
      <c r="Q45" s="408" t="s">
        <v>36</v>
      </c>
      <c r="R45" s="408" t="s">
        <v>36</v>
      </c>
      <c r="S45" s="408" t="s">
        <v>36</v>
      </c>
      <c r="T45" s="408" t="s">
        <v>36</v>
      </c>
      <c r="U45" s="408" t="s">
        <v>36</v>
      </c>
    </row>
    <row r="46" spans="1:22" ht="12" customHeight="1">
      <c r="A46" s="12">
        <v>2007</v>
      </c>
      <c r="B46" s="408" t="s">
        <v>36</v>
      </c>
      <c r="C46" s="408" t="s">
        <v>36</v>
      </c>
      <c r="D46" s="408" t="s">
        <v>36</v>
      </c>
      <c r="E46" s="408" t="s">
        <v>36</v>
      </c>
      <c r="F46" s="408" t="s">
        <v>36</v>
      </c>
      <c r="G46" s="408" t="s">
        <v>36</v>
      </c>
      <c r="H46" s="408" t="s">
        <v>36</v>
      </c>
      <c r="I46" s="408" t="s">
        <v>36</v>
      </c>
      <c r="J46" s="408">
        <v>1.03</v>
      </c>
      <c r="K46" s="408">
        <v>1.022</v>
      </c>
      <c r="L46" s="408">
        <v>1.0209999999999999</v>
      </c>
      <c r="M46" s="408" t="s">
        <v>36</v>
      </c>
      <c r="N46" s="408" t="s">
        <v>36</v>
      </c>
      <c r="O46" s="408" t="s">
        <v>36</v>
      </c>
      <c r="P46" s="408" t="s">
        <v>36</v>
      </c>
      <c r="Q46" s="408" t="s">
        <v>36</v>
      </c>
      <c r="R46" s="408" t="s">
        <v>36</v>
      </c>
      <c r="S46" s="408" t="s">
        <v>36</v>
      </c>
      <c r="T46" s="408" t="s">
        <v>36</v>
      </c>
      <c r="U46" s="408" t="s">
        <v>36</v>
      </c>
    </row>
    <row r="47" spans="1:22" ht="12" customHeight="1">
      <c r="A47" s="12">
        <v>2008</v>
      </c>
      <c r="B47" s="408" t="s">
        <v>36</v>
      </c>
      <c r="C47" s="408" t="s">
        <v>36</v>
      </c>
      <c r="D47" s="408" t="s">
        <v>36</v>
      </c>
      <c r="E47" s="408" t="s">
        <v>36</v>
      </c>
      <c r="F47" s="408" t="s">
        <v>36</v>
      </c>
      <c r="G47" s="408" t="s">
        <v>36</v>
      </c>
      <c r="H47" s="408" t="s">
        <v>36</v>
      </c>
      <c r="I47" s="408">
        <v>1.034</v>
      </c>
      <c r="J47" s="408">
        <v>1.026</v>
      </c>
      <c r="K47" s="408">
        <v>1.0209999999999999</v>
      </c>
      <c r="L47" s="408" t="s">
        <v>36</v>
      </c>
      <c r="M47" s="408" t="s">
        <v>36</v>
      </c>
      <c r="N47" s="408" t="s">
        <v>36</v>
      </c>
      <c r="O47" s="408" t="s">
        <v>36</v>
      </c>
      <c r="P47" s="408" t="s">
        <v>36</v>
      </c>
      <c r="Q47" s="408" t="s">
        <v>36</v>
      </c>
      <c r="R47" s="408" t="s">
        <v>36</v>
      </c>
      <c r="S47" s="408" t="s">
        <v>36</v>
      </c>
      <c r="T47" s="408" t="s">
        <v>36</v>
      </c>
      <c r="U47" s="408" t="s">
        <v>36</v>
      </c>
    </row>
    <row r="48" spans="1:22" ht="12" customHeight="1">
      <c r="A48" s="12">
        <v>2009</v>
      </c>
      <c r="B48" s="408" t="s">
        <v>36</v>
      </c>
      <c r="C48" s="408" t="s">
        <v>36</v>
      </c>
      <c r="D48" s="408" t="s">
        <v>36</v>
      </c>
      <c r="E48" s="408" t="s">
        <v>36</v>
      </c>
      <c r="F48" s="408" t="s">
        <v>36</v>
      </c>
      <c r="G48" s="408" t="s">
        <v>36</v>
      </c>
      <c r="H48" s="408">
        <v>1.044</v>
      </c>
      <c r="I48" s="408">
        <v>1.0309999999999999</v>
      </c>
      <c r="J48" s="408">
        <v>1.0249999999999999</v>
      </c>
      <c r="K48" s="408" t="s">
        <v>36</v>
      </c>
      <c r="L48" s="408" t="s">
        <v>36</v>
      </c>
      <c r="M48" s="408" t="s">
        <v>36</v>
      </c>
      <c r="N48" s="408" t="s">
        <v>36</v>
      </c>
      <c r="O48" s="408" t="s">
        <v>36</v>
      </c>
      <c r="P48" s="408" t="s">
        <v>36</v>
      </c>
      <c r="Q48" s="408" t="s">
        <v>36</v>
      </c>
      <c r="R48" s="408" t="s">
        <v>36</v>
      </c>
      <c r="S48" s="408" t="s">
        <v>36</v>
      </c>
      <c r="T48" s="408" t="s">
        <v>36</v>
      </c>
      <c r="U48" s="408" t="s">
        <v>36</v>
      </c>
    </row>
    <row r="49" spans="1:22" ht="12" customHeight="1">
      <c r="A49" s="12">
        <v>2010</v>
      </c>
      <c r="B49" s="408" t="s">
        <v>36</v>
      </c>
      <c r="C49" s="408" t="s">
        <v>36</v>
      </c>
      <c r="D49" s="408" t="s">
        <v>36</v>
      </c>
      <c r="E49" s="408" t="s">
        <v>36</v>
      </c>
      <c r="F49" s="408" t="s">
        <v>36</v>
      </c>
      <c r="G49" s="408">
        <v>1.0620000000000001</v>
      </c>
      <c r="H49" s="408">
        <v>1.0409999999999999</v>
      </c>
      <c r="I49" s="408">
        <v>1.028</v>
      </c>
      <c r="J49" s="408" t="s">
        <v>36</v>
      </c>
      <c r="K49" s="408" t="s">
        <v>36</v>
      </c>
      <c r="L49" s="408" t="s">
        <v>36</v>
      </c>
      <c r="M49" s="408" t="s">
        <v>36</v>
      </c>
      <c r="N49" s="408" t="s">
        <v>36</v>
      </c>
      <c r="O49" s="408" t="s">
        <v>36</v>
      </c>
      <c r="P49" s="408" t="s">
        <v>36</v>
      </c>
      <c r="Q49" s="408" t="s">
        <v>36</v>
      </c>
      <c r="R49" s="408" t="s">
        <v>36</v>
      </c>
      <c r="S49" s="408" t="s">
        <v>36</v>
      </c>
      <c r="T49" s="408" t="s">
        <v>36</v>
      </c>
      <c r="U49" s="408" t="s">
        <v>36</v>
      </c>
    </row>
    <row r="50" spans="1:22" ht="12" customHeight="1">
      <c r="A50" s="12">
        <v>2011</v>
      </c>
      <c r="B50" s="408" t="s">
        <v>36</v>
      </c>
      <c r="C50" s="408" t="s">
        <v>36</v>
      </c>
      <c r="D50" s="408" t="s">
        <v>36</v>
      </c>
      <c r="E50" s="408" t="s">
        <v>36</v>
      </c>
      <c r="F50" s="408">
        <v>1.085</v>
      </c>
      <c r="G50" s="408">
        <v>1.0589999999999999</v>
      </c>
      <c r="H50" s="408">
        <v>1.038</v>
      </c>
      <c r="I50" s="408" t="s">
        <v>36</v>
      </c>
      <c r="J50" s="408" t="s">
        <v>36</v>
      </c>
      <c r="K50" s="408" t="s">
        <v>36</v>
      </c>
      <c r="L50" s="408" t="s">
        <v>36</v>
      </c>
      <c r="M50" s="408" t="s">
        <v>36</v>
      </c>
      <c r="N50" s="408" t="s">
        <v>36</v>
      </c>
      <c r="O50" s="408" t="s">
        <v>36</v>
      </c>
      <c r="P50" s="408" t="s">
        <v>36</v>
      </c>
      <c r="Q50" s="408" t="s">
        <v>36</v>
      </c>
      <c r="R50" s="408" t="s">
        <v>36</v>
      </c>
      <c r="S50" s="408" t="s">
        <v>36</v>
      </c>
      <c r="T50" s="408" t="s">
        <v>36</v>
      </c>
      <c r="U50" s="408" t="s">
        <v>36</v>
      </c>
    </row>
    <row r="51" spans="1:22" ht="12" customHeight="1">
      <c r="A51" s="12">
        <v>2012</v>
      </c>
      <c r="B51" s="408" t="s">
        <v>36</v>
      </c>
      <c r="C51" s="408" t="s">
        <v>36</v>
      </c>
      <c r="D51" s="408" t="s">
        <v>36</v>
      </c>
      <c r="E51" s="408">
        <v>1.133</v>
      </c>
      <c r="F51" s="408">
        <v>1.0820000000000001</v>
      </c>
      <c r="G51" s="408">
        <v>1.056</v>
      </c>
      <c r="H51" s="408" t="s">
        <v>36</v>
      </c>
      <c r="I51" s="408" t="s">
        <v>36</v>
      </c>
      <c r="J51" s="408" t="s">
        <v>36</v>
      </c>
      <c r="K51" s="408" t="s">
        <v>36</v>
      </c>
      <c r="L51" s="408" t="s">
        <v>36</v>
      </c>
      <c r="M51" s="408" t="s">
        <v>36</v>
      </c>
      <c r="N51" s="408" t="s">
        <v>36</v>
      </c>
      <c r="O51" s="408" t="s">
        <v>36</v>
      </c>
      <c r="P51" s="408" t="s">
        <v>36</v>
      </c>
      <c r="Q51" s="408" t="s">
        <v>36</v>
      </c>
      <c r="R51" s="408" t="s">
        <v>36</v>
      </c>
      <c r="S51" s="408" t="s">
        <v>36</v>
      </c>
      <c r="T51" s="408" t="s">
        <v>36</v>
      </c>
      <c r="U51" s="408" t="s">
        <v>36</v>
      </c>
    </row>
    <row r="52" spans="1:22" ht="12" customHeight="1">
      <c r="A52" s="12">
        <v>2013</v>
      </c>
      <c r="B52" s="408" t="s">
        <v>36</v>
      </c>
      <c r="C52" s="408" t="s">
        <v>36</v>
      </c>
      <c r="D52" s="408">
        <v>1.2130000000000001</v>
      </c>
      <c r="E52" s="408">
        <v>1.119</v>
      </c>
      <c r="F52" s="408">
        <v>1.0740000000000001</v>
      </c>
      <c r="G52" s="408" t="s">
        <v>36</v>
      </c>
      <c r="H52" s="408" t="s">
        <v>36</v>
      </c>
      <c r="I52" s="408" t="s">
        <v>36</v>
      </c>
      <c r="J52" s="408" t="s">
        <v>36</v>
      </c>
      <c r="K52" s="408" t="s">
        <v>36</v>
      </c>
      <c r="L52" s="408" t="s">
        <v>36</v>
      </c>
      <c r="M52" s="408" t="s">
        <v>36</v>
      </c>
      <c r="N52" s="408" t="s">
        <v>36</v>
      </c>
      <c r="O52" s="408" t="s">
        <v>36</v>
      </c>
      <c r="P52" s="408" t="s">
        <v>36</v>
      </c>
      <c r="Q52" s="408" t="s">
        <v>36</v>
      </c>
      <c r="R52" s="408" t="s">
        <v>36</v>
      </c>
      <c r="S52" s="408" t="s">
        <v>36</v>
      </c>
      <c r="T52" s="408" t="s">
        <v>36</v>
      </c>
      <c r="U52" s="408" t="s">
        <v>36</v>
      </c>
    </row>
    <row r="53" spans="1:22" ht="12" customHeight="1">
      <c r="A53" s="12">
        <v>2014</v>
      </c>
      <c r="B53" s="408" t="s">
        <v>36</v>
      </c>
      <c r="C53" s="408">
        <v>1.3919999999999999</v>
      </c>
      <c r="D53" s="408">
        <v>1.2030000000000001</v>
      </c>
      <c r="E53" s="408">
        <v>1.1120000000000001</v>
      </c>
      <c r="F53" s="408" t="s">
        <v>36</v>
      </c>
      <c r="G53" s="408" t="s">
        <v>36</v>
      </c>
      <c r="H53" s="408" t="s">
        <v>36</v>
      </c>
      <c r="I53" s="408" t="s">
        <v>36</v>
      </c>
      <c r="J53" s="408" t="s">
        <v>36</v>
      </c>
      <c r="K53" s="408" t="s">
        <v>36</v>
      </c>
      <c r="L53" s="408" t="s">
        <v>36</v>
      </c>
      <c r="M53" s="408" t="s">
        <v>36</v>
      </c>
      <c r="N53" s="408" t="s">
        <v>36</v>
      </c>
      <c r="O53" s="408" t="s">
        <v>36</v>
      </c>
      <c r="P53" s="408" t="s">
        <v>36</v>
      </c>
      <c r="Q53" s="408" t="s">
        <v>36</v>
      </c>
      <c r="R53" s="408" t="s">
        <v>36</v>
      </c>
      <c r="S53" s="408" t="s">
        <v>36</v>
      </c>
      <c r="T53" s="408" t="s">
        <v>36</v>
      </c>
      <c r="U53" s="408" t="s">
        <v>36</v>
      </c>
    </row>
    <row r="54" spans="1:22" ht="12" customHeight="1">
      <c r="A54" s="12">
        <v>2015</v>
      </c>
      <c r="B54" s="408">
        <v>1.9590000000000001</v>
      </c>
      <c r="C54" s="408">
        <v>1.365</v>
      </c>
      <c r="D54" s="408">
        <v>1.19</v>
      </c>
      <c r="E54" s="408" t="s">
        <v>36</v>
      </c>
      <c r="F54" s="408" t="s">
        <v>36</v>
      </c>
      <c r="G54" s="408" t="s">
        <v>36</v>
      </c>
      <c r="H54" s="408" t="s">
        <v>36</v>
      </c>
      <c r="I54" s="408" t="s">
        <v>36</v>
      </c>
      <c r="J54" s="408" t="s">
        <v>36</v>
      </c>
      <c r="K54" s="408" t="s">
        <v>36</v>
      </c>
      <c r="L54" s="408" t="s">
        <v>36</v>
      </c>
      <c r="M54" s="408" t="s">
        <v>36</v>
      </c>
      <c r="N54" s="408" t="s">
        <v>36</v>
      </c>
      <c r="O54" s="408" t="s">
        <v>36</v>
      </c>
      <c r="P54" s="408" t="s">
        <v>36</v>
      </c>
      <c r="Q54" s="408" t="s">
        <v>36</v>
      </c>
      <c r="R54" s="408" t="s">
        <v>36</v>
      </c>
      <c r="S54" s="408" t="s">
        <v>36</v>
      </c>
      <c r="T54" s="408" t="s">
        <v>36</v>
      </c>
      <c r="U54" s="408" t="s">
        <v>36</v>
      </c>
    </row>
    <row r="55" spans="1:22" ht="12" customHeight="1">
      <c r="A55" s="12">
        <v>2016</v>
      </c>
      <c r="B55" s="408">
        <v>1.8819999999999999</v>
      </c>
      <c r="C55" s="408">
        <v>1.3440000000000001</v>
      </c>
      <c r="D55" s="408" t="s">
        <v>36</v>
      </c>
      <c r="E55" s="408" t="s">
        <v>36</v>
      </c>
      <c r="F55" s="408" t="s">
        <v>36</v>
      </c>
      <c r="G55" s="408" t="s">
        <v>36</v>
      </c>
      <c r="H55" s="408" t="s">
        <v>36</v>
      </c>
      <c r="I55" s="408" t="s">
        <v>36</v>
      </c>
      <c r="J55" s="408" t="s">
        <v>36</v>
      </c>
      <c r="K55" s="408" t="s">
        <v>36</v>
      </c>
      <c r="L55" s="408" t="s">
        <v>36</v>
      </c>
      <c r="M55" s="408" t="s">
        <v>36</v>
      </c>
      <c r="N55" s="408" t="s">
        <v>36</v>
      </c>
      <c r="O55" s="408" t="s">
        <v>36</v>
      </c>
      <c r="P55" s="408" t="s">
        <v>36</v>
      </c>
      <c r="Q55" s="408" t="s">
        <v>36</v>
      </c>
      <c r="R55" s="408" t="s">
        <v>36</v>
      </c>
      <c r="S55" s="408" t="s">
        <v>36</v>
      </c>
      <c r="T55" s="408" t="s">
        <v>36</v>
      </c>
      <c r="U55" s="408" t="s">
        <v>36</v>
      </c>
    </row>
    <row r="56" spans="1:22" s="239" customFormat="1" ht="12" customHeight="1">
      <c r="A56" s="12">
        <v>2017</v>
      </c>
      <c r="B56" s="408">
        <v>1.8440000000000001</v>
      </c>
      <c r="C56" s="408" t="s">
        <v>36</v>
      </c>
      <c r="D56" s="408" t="s">
        <v>36</v>
      </c>
      <c r="E56" s="408" t="s">
        <v>36</v>
      </c>
      <c r="F56" s="408" t="s">
        <v>36</v>
      </c>
      <c r="G56" s="408" t="s">
        <v>36</v>
      </c>
      <c r="H56" s="408" t="s">
        <v>36</v>
      </c>
      <c r="I56" s="408" t="s">
        <v>36</v>
      </c>
      <c r="J56" s="408" t="s">
        <v>36</v>
      </c>
      <c r="K56" s="408" t="s">
        <v>36</v>
      </c>
      <c r="L56" s="408" t="s">
        <v>36</v>
      </c>
      <c r="M56" s="408" t="s">
        <v>36</v>
      </c>
      <c r="N56" s="408" t="s">
        <v>36</v>
      </c>
      <c r="O56" s="408" t="s">
        <v>36</v>
      </c>
      <c r="P56" s="408" t="s">
        <v>36</v>
      </c>
      <c r="Q56" s="408" t="s">
        <v>36</v>
      </c>
      <c r="R56" s="408" t="s">
        <v>36</v>
      </c>
      <c r="S56" s="408" t="s">
        <v>36</v>
      </c>
      <c r="T56" s="408" t="s">
        <v>36</v>
      </c>
      <c r="U56" s="408" t="s">
        <v>36</v>
      </c>
    </row>
    <row r="57" spans="1:22" s="191" customFormat="1" ht="12" customHeight="1">
      <c r="A57" s="12"/>
      <c r="G57" s="13"/>
      <c r="H57" s="13"/>
      <c r="I57" s="13"/>
      <c r="J57" s="13"/>
      <c r="K57" s="13"/>
      <c r="L57" s="13"/>
      <c r="M57" s="13"/>
      <c r="N57" s="13"/>
      <c r="O57" s="13"/>
      <c r="P57" s="13"/>
      <c r="Q57" s="13"/>
      <c r="R57" s="13"/>
      <c r="S57" s="13"/>
      <c r="T57" s="13"/>
      <c r="U57" s="13"/>
    </row>
    <row r="58" spans="1:22" ht="12" customHeight="1">
      <c r="A58" s="12" t="s">
        <v>38</v>
      </c>
      <c r="B58" s="13" t="str">
        <f>ROUND(B75,3)&amp;"(e)"</f>
        <v>1.843(e)</v>
      </c>
      <c r="C58" s="13" t="str">
        <f>ROUND(C75,3)&amp;"(e)"</f>
        <v>1.331(e)</v>
      </c>
      <c r="D58" s="13" t="str">
        <f>ROUND(D75,3)&amp;"(e)"</f>
        <v>1.173(e)</v>
      </c>
      <c r="E58" s="13" t="str">
        <f>ROUND(E75,3)&amp;"(e)"</f>
        <v>1.097(e)</v>
      </c>
      <c r="F58" s="13" t="str">
        <f>ROUND(F75,3)&amp;"(e)"</f>
        <v>1.066(e)</v>
      </c>
      <c r="G58" s="13">
        <f>+ROUND(G51,3)</f>
        <v>1.056</v>
      </c>
      <c r="H58" s="13">
        <f>+ROUND(H50,3)</f>
        <v>1.038</v>
      </c>
      <c r="I58" s="13">
        <f>+ROUND(I49,3)</f>
        <v>1.028</v>
      </c>
      <c r="J58" s="13">
        <f>AVERAGE(J46:J48)</f>
        <v>1.0269999999999999</v>
      </c>
      <c r="K58" s="13">
        <f>AVERAGE(K45:K47)</f>
        <v>1.0223333333333333</v>
      </c>
      <c r="L58" s="13">
        <f>AVERAGE(L44:L46)</f>
        <v>1.0206666666666666</v>
      </c>
      <c r="M58" s="13">
        <f>AVERAGE(M43:M45)</f>
        <v>1.0176666666666667</v>
      </c>
      <c r="N58" s="13">
        <f>AVERAGE(N42:N44)</f>
        <v>1.0153333333333332</v>
      </c>
      <c r="O58" s="13">
        <f>AVERAGE(O41:O43)</f>
        <v>1.0126666666666666</v>
      </c>
      <c r="P58" s="13">
        <f>AVERAGE(P40:P42)</f>
        <v>1.0123333333333333</v>
      </c>
      <c r="Q58" s="13">
        <f>AVERAGE(Q39:Q41)</f>
        <v>1.0106666666666666</v>
      </c>
      <c r="R58" s="13">
        <f>AVERAGE(R38:R40)</f>
        <v>1.0103333333333333</v>
      </c>
      <c r="S58" s="13">
        <f>AVERAGE(S37:S39)</f>
        <v>1.0090000000000001</v>
      </c>
      <c r="T58" s="13">
        <f>AVERAGE(T36:T38)</f>
        <v>1.0083333333333331</v>
      </c>
      <c r="U58" s="13">
        <f>AVERAGE(U35:U37)</f>
        <v>1.0083333333333331</v>
      </c>
      <c r="V58" s="13">
        <f>AVERAGE(V35:V37)</f>
        <v>1.0816666666666668</v>
      </c>
    </row>
    <row r="59" spans="1:22" s="354" customFormat="1" ht="12" customHeight="1">
      <c r="A59" s="12"/>
      <c r="B59" s="13"/>
      <c r="C59" s="13"/>
      <c r="D59" s="13"/>
      <c r="E59" s="13"/>
      <c r="F59" s="13"/>
      <c r="G59" s="13"/>
      <c r="H59" s="13"/>
      <c r="I59" s="13"/>
      <c r="J59" s="13"/>
      <c r="K59" s="13"/>
      <c r="L59" s="13"/>
      <c r="M59" s="13"/>
      <c r="N59" s="13"/>
      <c r="O59" s="13"/>
      <c r="P59" s="13"/>
      <c r="Q59" s="13"/>
      <c r="R59" s="13"/>
      <c r="S59" s="13"/>
      <c r="T59" s="13"/>
      <c r="U59" s="13"/>
      <c r="V59" s="13"/>
    </row>
    <row r="60" spans="1:22" s="354" customFormat="1" ht="12" customHeight="1">
      <c r="A60" s="14" t="s">
        <v>376</v>
      </c>
      <c r="B60" s="13"/>
      <c r="C60" s="13"/>
      <c r="D60" s="13"/>
      <c r="E60" s="13"/>
      <c r="F60" s="13"/>
      <c r="G60" s="13"/>
      <c r="H60" s="13"/>
      <c r="I60" s="13"/>
      <c r="J60" s="13"/>
      <c r="K60" s="13"/>
      <c r="L60" s="13"/>
      <c r="M60" s="13"/>
      <c r="N60" s="13"/>
      <c r="O60" s="13"/>
      <c r="P60" s="13"/>
      <c r="Q60" s="13"/>
      <c r="R60" s="13"/>
      <c r="S60" s="13"/>
      <c r="T60" s="13"/>
      <c r="U60" s="13"/>
      <c r="V60" s="13"/>
    </row>
    <row r="61" spans="1:22" s="354" customFormat="1" ht="12" customHeight="1">
      <c r="A61" s="14" t="s">
        <v>375</v>
      </c>
      <c r="B61" s="13">
        <f t="shared" ref="B61:E61" si="1">B75*C61</f>
        <v>5.0310026353229418</v>
      </c>
      <c r="C61" s="13">
        <f t="shared" si="1"/>
        <v>2.7296696468213151</v>
      </c>
      <c r="D61" s="13">
        <f t="shared" si="1"/>
        <v>2.0510502484911464</v>
      </c>
      <c r="E61" s="13">
        <f t="shared" si="1"/>
        <v>1.7487851967500923</v>
      </c>
      <c r="F61" s="13">
        <f>F75*G61</f>
        <v>1.594279450989996</v>
      </c>
      <c r="G61" s="13">
        <f t="shared" ref="G61:S61" si="2">G58*H61</f>
        <v>1.4952517871889464</v>
      </c>
      <c r="H61" s="13">
        <f t="shared" si="2"/>
        <v>1.4159581318077143</v>
      </c>
      <c r="I61" s="13">
        <f t="shared" si="2"/>
        <v>1.3641215142656207</v>
      </c>
      <c r="J61" s="13">
        <f t="shared" si="2"/>
        <v>1.3269664535657788</v>
      </c>
      <c r="K61" s="13">
        <f t="shared" si="2"/>
        <v>1.2920802858478859</v>
      </c>
      <c r="L61" s="13">
        <f t="shared" si="2"/>
        <v>1.2638542085241793</v>
      </c>
      <c r="M61" s="13">
        <f t="shared" si="2"/>
        <v>1.2382634309511882</v>
      </c>
      <c r="N61" s="13">
        <f t="shared" si="2"/>
        <v>1.2167672102370011</v>
      </c>
      <c r="O61" s="13">
        <f t="shared" si="2"/>
        <v>1.1983918682570596</v>
      </c>
      <c r="P61" s="13">
        <f t="shared" si="2"/>
        <v>1.1834021082196113</v>
      </c>
      <c r="Q61" s="13">
        <f t="shared" si="2"/>
        <v>1.1689846311026784</v>
      </c>
      <c r="R61" s="13">
        <f t="shared" si="2"/>
        <v>1.1566470624366871</v>
      </c>
      <c r="S61" s="13">
        <f t="shared" si="2"/>
        <v>1.1448172838370378</v>
      </c>
      <c r="T61" s="13">
        <f>T58*U61</f>
        <v>1.1346058313548442</v>
      </c>
      <c r="U61" s="13">
        <f>U58*V58*'Exhibit 2.6.2'!B23</f>
        <v>1.1252289236576969</v>
      </c>
      <c r="V61" s="13"/>
    </row>
    <row r="62" spans="1:22" s="354" customFormat="1" ht="12" customHeight="1">
      <c r="B62" s="13"/>
      <c r="C62" s="13"/>
      <c r="D62" s="13"/>
      <c r="E62" s="13"/>
      <c r="F62" s="13"/>
      <c r="G62" s="13"/>
      <c r="H62" s="13"/>
      <c r="I62" s="13"/>
      <c r="J62" s="13"/>
      <c r="K62" s="13"/>
      <c r="L62" s="13"/>
      <c r="M62" s="13"/>
      <c r="N62" s="13"/>
      <c r="O62" s="13"/>
      <c r="P62" s="13"/>
      <c r="Q62" s="13"/>
      <c r="R62" s="13"/>
      <c r="S62" s="13"/>
      <c r="T62" s="13"/>
      <c r="U62" s="13"/>
      <c r="V62" s="13"/>
    </row>
    <row r="63" spans="1:22" s="354" customFormat="1" ht="12" customHeight="1">
      <c r="A63" s="14" t="s">
        <v>374</v>
      </c>
      <c r="B63" s="13"/>
      <c r="C63" s="13"/>
      <c r="D63" s="13"/>
      <c r="E63" s="13"/>
      <c r="F63" s="13"/>
      <c r="G63" s="13"/>
      <c r="H63" s="13"/>
      <c r="I63" s="13"/>
      <c r="J63" s="13"/>
      <c r="K63" s="13"/>
      <c r="L63" s="13"/>
      <c r="M63" s="13"/>
      <c r="N63" s="13"/>
      <c r="O63" s="13"/>
      <c r="P63" s="13"/>
      <c r="Q63" s="13"/>
      <c r="R63" s="13"/>
      <c r="S63" s="13"/>
      <c r="T63" s="13"/>
      <c r="U63" s="13"/>
      <c r="V63" s="13"/>
    </row>
    <row r="64" spans="1:22" ht="14.45" customHeight="1">
      <c r="A64" s="14" t="s">
        <v>377</v>
      </c>
      <c r="B64" s="13">
        <f>B61*C81</f>
        <v>4.7895145088274402</v>
      </c>
      <c r="C64" s="13">
        <f>C61*C82</f>
        <v>2.5986455037738918</v>
      </c>
      <c r="D64" s="13">
        <f>D61*C83</f>
        <v>1.9751613892969739</v>
      </c>
      <c r="E64" s="13">
        <f>E61*C84</f>
        <v>1.7050655668313399</v>
      </c>
      <c r="F64" s="13">
        <f>C85*F61</f>
        <v>1.570365259225146</v>
      </c>
      <c r="G64" s="13">
        <f>G61*C86</f>
        <v>1.4847850246786238</v>
      </c>
      <c r="H64" s="22" t="s">
        <v>34</v>
      </c>
      <c r="I64" s="22" t="s">
        <v>34</v>
      </c>
      <c r="J64" s="22" t="s">
        <v>34</v>
      </c>
      <c r="K64" s="22" t="s">
        <v>34</v>
      </c>
      <c r="L64" s="22" t="s">
        <v>34</v>
      </c>
      <c r="M64" s="22" t="s">
        <v>34</v>
      </c>
      <c r="N64" s="22" t="s">
        <v>34</v>
      </c>
      <c r="O64" s="22" t="s">
        <v>34</v>
      </c>
      <c r="P64" s="22" t="s">
        <v>34</v>
      </c>
      <c r="Q64" s="22" t="s">
        <v>34</v>
      </c>
      <c r="R64" s="22" t="s">
        <v>34</v>
      </c>
      <c r="S64" s="22" t="s">
        <v>34</v>
      </c>
      <c r="T64" s="22" t="s">
        <v>34</v>
      </c>
      <c r="U64" s="22" t="s">
        <v>34</v>
      </c>
    </row>
    <row r="65" spans="1:33" ht="4.9000000000000004" customHeight="1">
      <c r="A65" s="14"/>
      <c r="B65" s="14"/>
      <c r="C65" s="13"/>
      <c r="D65" s="13"/>
      <c r="E65" s="13"/>
      <c r="F65" s="13"/>
      <c r="G65" s="13"/>
      <c r="H65" s="13"/>
      <c r="I65" s="13"/>
      <c r="J65" s="13"/>
      <c r="K65" s="13"/>
      <c r="L65" s="13"/>
      <c r="M65" s="13"/>
      <c r="N65" s="13"/>
      <c r="O65" s="13"/>
      <c r="P65" s="13"/>
      <c r="Q65" s="13"/>
      <c r="R65" s="13"/>
      <c r="S65" s="13"/>
    </row>
    <row r="66" spans="1:33" ht="6" customHeight="1">
      <c r="A66" s="14"/>
      <c r="B66" s="14"/>
      <c r="C66" s="13"/>
      <c r="D66" s="13"/>
      <c r="E66" s="13"/>
      <c r="F66" s="13"/>
      <c r="G66" s="13"/>
      <c r="H66" s="13"/>
      <c r="I66" s="13"/>
      <c r="J66" s="13"/>
      <c r="K66" s="13"/>
      <c r="L66" s="13"/>
      <c r="M66" s="13"/>
      <c r="N66" s="13"/>
      <c r="O66" s="13"/>
      <c r="P66" s="13"/>
      <c r="Q66" s="13"/>
      <c r="R66" s="13"/>
      <c r="S66" s="13"/>
    </row>
    <row r="67" spans="1:33" ht="6" customHeight="1">
      <c r="A67" s="14"/>
      <c r="B67" s="14"/>
      <c r="C67" s="13"/>
      <c r="D67" s="13"/>
      <c r="E67" s="13"/>
      <c r="F67" s="13"/>
      <c r="G67" s="13"/>
      <c r="H67" s="13"/>
      <c r="I67" s="13"/>
      <c r="J67" s="13"/>
      <c r="K67" s="13"/>
      <c r="L67" s="13"/>
      <c r="M67" s="13"/>
      <c r="N67" s="13"/>
      <c r="O67" s="13"/>
      <c r="P67" s="13"/>
    </row>
    <row r="68" spans="1:33">
      <c r="A68" s="9" t="s">
        <v>39</v>
      </c>
      <c r="B68" s="554" t="s">
        <v>341</v>
      </c>
      <c r="C68" s="554"/>
      <c r="D68" s="554"/>
      <c r="E68" s="554"/>
      <c r="F68" s="554"/>
      <c r="G68" s="554"/>
      <c r="H68" s="554"/>
      <c r="I68" s="554"/>
      <c r="J68" s="554"/>
      <c r="K68" s="554"/>
      <c r="L68" s="554"/>
      <c r="M68" s="554"/>
      <c r="N68" s="554"/>
      <c r="O68" s="554"/>
      <c r="P68" s="554"/>
      <c r="Q68" s="554"/>
      <c r="R68" s="554"/>
      <c r="S68" s="554"/>
    </row>
    <row r="69" spans="1:33" ht="28.5" customHeight="1">
      <c r="A69" s="9" t="s">
        <v>25</v>
      </c>
      <c r="B69" s="536" t="s">
        <v>411</v>
      </c>
      <c r="C69" s="536"/>
      <c r="D69" s="536"/>
      <c r="E69" s="536"/>
      <c r="F69" s="536"/>
      <c r="G69" s="536"/>
      <c r="H69" s="536"/>
      <c r="I69" s="536"/>
      <c r="J69" s="536"/>
      <c r="K69" s="536"/>
      <c r="L69" s="536"/>
      <c r="M69" s="536"/>
      <c r="N69" s="536"/>
      <c r="O69" s="536"/>
      <c r="P69" s="536"/>
      <c r="Q69" s="536"/>
      <c r="R69" s="536"/>
      <c r="S69" s="536"/>
      <c r="T69" s="536"/>
      <c r="U69" s="536"/>
      <c r="V69" s="536"/>
    </row>
    <row r="70" spans="1:33" ht="28.15" customHeight="1">
      <c r="A70" s="9" t="s">
        <v>26</v>
      </c>
      <c r="B70" s="536" t="s">
        <v>429</v>
      </c>
      <c r="C70" s="536"/>
      <c r="D70" s="536"/>
      <c r="E70" s="536"/>
      <c r="F70" s="536"/>
      <c r="G70" s="536"/>
      <c r="H70" s="536"/>
      <c r="I70" s="536"/>
      <c r="J70" s="536"/>
      <c r="K70" s="536"/>
      <c r="L70" s="536"/>
      <c r="M70" s="536"/>
      <c r="N70" s="536"/>
      <c r="O70" s="536"/>
      <c r="P70" s="536"/>
      <c r="Q70" s="536"/>
      <c r="R70" s="536"/>
      <c r="S70" s="536"/>
      <c r="T70" s="536"/>
      <c r="U70" s="536"/>
      <c r="V70" s="536"/>
    </row>
    <row r="71" spans="1:33" ht="14.25" customHeight="1">
      <c r="A71" s="9" t="s">
        <v>30</v>
      </c>
      <c r="B71" s="529" t="s">
        <v>430</v>
      </c>
      <c r="C71" s="529"/>
      <c r="D71" s="529"/>
      <c r="E71" s="529"/>
      <c r="F71" s="529"/>
      <c r="G71" s="529"/>
      <c r="H71" s="529"/>
      <c r="I71" s="529"/>
      <c r="J71" s="529"/>
      <c r="K71" s="529"/>
      <c r="L71" s="529"/>
      <c r="M71" s="529"/>
      <c r="N71" s="529"/>
      <c r="O71" s="529"/>
      <c r="P71" s="529"/>
      <c r="Q71" s="529"/>
      <c r="R71" s="529"/>
      <c r="S71" s="529"/>
    </row>
    <row r="72" spans="1:33" s="197" customFormat="1" ht="13.9" customHeight="1">
      <c r="A72" s="9" t="s">
        <v>41</v>
      </c>
      <c r="B72" s="536" t="s">
        <v>373</v>
      </c>
      <c r="C72" s="536"/>
      <c r="D72" s="536"/>
      <c r="E72" s="536"/>
      <c r="F72" s="536"/>
      <c r="G72" s="536"/>
      <c r="H72" s="536"/>
      <c r="I72" s="536"/>
      <c r="J72" s="536"/>
      <c r="K72" s="536"/>
      <c r="L72" s="536"/>
      <c r="M72" s="536"/>
      <c r="N72" s="536"/>
      <c r="O72" s="536"/>
      <c r="P72" s="536"/>
      <c r="Q72" s="536"/>
      <c r="R72" s="536"/>
      <c r="S72" s="536"/>
      <c r="T72" s="536"/>
      <c r="U72" s="536"/>
      <c r="V72" s="536"/>
    </row>
    <row r="73" spans="1:33" ht="15.6" customHeight="1">
      <c r="A73" s="9" t="s">
        <v>44</v>
      </c>
      <c r="B73" s="536" t="s">
        <v>428</v>
      </c>
      <c r="C73" s="536"/>
      <c r="D73" s="536"/>
      <c r="E73" s="536"/>
      <c r="F73" s="536"/>
      <c r="G73" s="536"/>
      <c r="H73" s="536"/>
      <c r="I73" s="536"/>
      <c r="J73" s="536"/>
      <c r="K73" s="536"/>
      <c r="L73" s="536"/>
      <c r="M73" s="536"/>
      <c r="N73" s="536"/>
      <c r="O73" s="536"/>
      <c r="P73" s="536"/>
      <c r="Q73" s="536"/>
      <c r="R73" s="536"/>
      <c r="S73" s="536"/>
      <c r="T73" s="536"/>
      <c r="U73" s="536"/>
      <c r="V73" s="536"/>
    </row>
    <row r="74" spans="1:33" ht="28.5" customHeight="1">
      <c r="A74" s="196"/>
      <c r="B74" s="13"/>
      <c r="C74" s="13"/>
      <c r="D74" s="13"/>
      <c r="E74" s="13"/>
      <c r="F74" s="13"/>
      <c r="G74" s="13"/>
    </row>
    <row r="75" spans="1:33">
      <c r="A75" s="196" t="s">
        <v>533</v>
      </c>
      <c r="B75" s="13">
        <f>'Exhibits 2.6.3 - 2.6.8'!D327</f>
        <v>1.8430811366428592</v>
      </c>
      <c r="C75" s="13">
        <f>'Exhibits 2.6.3 - 2.6.8'!E327</f>
        <v>1.3308643456343376</v>
      </c>
      <c r="D75" s="13">
        <f>'Exhibits 2.6.3 - 2.6.8'!F327</f>
        <v>1.1728428696118753</v>
      </c>
      <c r="E75" s="13">
        <f>'Exhibits 2.6.3 - 2.6.8'!G327</f>
        <v>1.0969125868517926</v>
      </c>
      <c r="F75" s="13">
        <f>'Exhibits 2.6.3 - 2.6.8'!H327</f>
        <v>1.0662280858979747</v>
      </c>
    </row>
    <row r="76" spans="1:33">
      <c r="A76" s="390"/>
      <c r="B76" s="390"/>
      <c r="C76" s="390"/>
      <c r="D76" s="390"/>
      <c r="E76" s="390"/>
      <c r="F76" s="390"/>
    </row>
    <row r="77" spans="1:33">
      <c r="A77" s="136" t="s">
        <v>536</v>
      </c>
      <c r="B77" s="136"/>
      <c r="C77" s="136"/>
      <c r="D77" s="390"/>
      <c r="E77" s="390"/>
      <c r="F77" s="390"/>
    </row>
    <row r="78" spans="1:33">
      <c r="A78" s="136"/>
      <c r="B78" s="136"/>
      <c r="C78" s="136"/>
      <c r="D78" s="390"/>
      <c r="E78" s="390"/>
      <c r="F78" s="390"/>
    </row>
    <row r="79" spans="1:33">
      <c r="A79" s="419"/>
      <c r="B79" s="164" t="s">
        <v>532</v>
      </c>
      <c r="C79" s="420"/>
      <c r="D79" s="390"/>
      <c r="E79" s="390"/>
      <c r="F79" s="390"/>
    </row>
    <row r="80" spans="1:33">
      <c r="A80" s="421" t="s">
        <v>201</v>
      </c>
      <c r="B80" s="422" t="s">
        <v>279</v>
      </c>
      <c r="C80" s="423" t="s">
        <v>278</v>
      </c>
      <c r="D80" s="390"/>
      <c r="E80" s="390"/>
      <c r="F80" s="390"/>
      <c r="V80" s="33"/>
      <c r="W80" s="33"/>
      <c r="X80" s="33"/>
      <c r="Y80" s="33"/>
      <c r="Z80" s="33"/>
      <c r="AA80" s="33"/>
      <c r="AB80" s="33"/>
      <c r="AC80" s="33"/>
      <c r="AD80" s="33"/>
      <c r="AE80" s="33"/>
      <c r="AF80" s="33"/>
      <c r="AG80" s="33"/>
    </row>
    <row r="81" spans="1:34">
      <c r="A81" s="130">
        <f>'Exhibit 2.4.1'!A69</f>
        <v>2018</v>
      </c>
      <c r="B81" s="320">
        <f>'Exhibit 2.4.1'!B69</f>
        <v>-4.8000000000000001E-2</v>
      </c>
      <c r="C81" s="321">
        <f>B81+1</f>
        <v>0.95199999999999996</v>
      </c>
      <c r="D81" s="390"/>
      <c r="E81" s="390"/>
      <c r="F81" s="390"/>
    </row>
    <row r="82" spans="1:34">
      <c r="A82" s="130">
        <f>A81-1</f>
        <v>2017</v>
      </c>
      <c r="B82" s="320">
        <f>'Exhibit 2.4.1'!B70</f>
        <v>-4.8000000000000001E-2</v>
      </c>
      <c r="C82" s="321">
        <f t="shared" ref="C82:C86" si="3">B82+1</f>
        <v>0.95199999999999996</v>
      </c>
      <c r="D82" s="33"/>
      <c r="E82" s="33"/>
      <c r="F82" s="33"/>
    </row>
    <row r="83" spans="1:34">
      <c r="A83" s="130">
        <f t="shared" ref="A83:A86" si="4">A82-1</f>
        <v>2016</v>
      </c>
      <c r="B83" s="320">
        <f>'Exhibit 2.4.1'!B71</f>
        <v>-3.6999999999999998E-2</v>
      </c>
      <c r="C83" s="321">
        <f t="shared" si="3"/>
        <v>0.96299999999999997</v>
      </c>
      <c r="D83" s="390"/>
      <c r="E83" s="390"/>
      <c r="F83" s="390"/>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row>
    <row r="84" spans="1:34">
      <c r="A84" s="130">
        <f t="shared" si="4"/>
        <v>2015</v>
      </c>
      <c r="B84" s="320">
        <f>'Exhibit 2.4.1'!B72</f>
        <v>-2.5000000000000001E-2</v>
      </c>
      <c r="C84" s="321">
        <f t="shared" si="3"/>
        <v>0.97499999999999998</v>
      </c>
      <c r="D84" s="390"/>
      <c r="E84" s="390"/>
      <c r="F84" s="390"/>
    </row>
    <row r="85" spans="1:34">
      <c r="A85" s="130">
        <f t="shared" si="4"/>
        <v>2014</v>
      </c>
      <c r="B85" s="320">
        <f>'Exhibit 2.4.1'!B73</f>
        <v>-1.4999999999999999E-2</v>
      </c>
      <c r="C85" s="321">
        <f t="shared" si="3"/>
        <v>0.98499999999999999</v>
      </c>
      <c r="D85" s="390"/>
      <c r="E85" s="390"/>
      <c r="F85" s="390"/>
    </row>
    <row r="86" spans="1:34">
      <c r="A86" s="131">
        <f t="shared" si="4"/>
        <v>2013</v>
      </c>
      <c r="B86" s="315">
        <f>'Exhibit 2.4.1'!B74</f>
        <v>-7.0000000000000001E-3</v>
      </c>
      <c r="C86" s="322">
        <f t="shared" si="3"/>
        <v>0.99299999999999999</v>
      </c>
      <c r="D86" s="390"/>
      <c r="E86" s="390"/>
      <c r="F86" s="390"/>
    </row>
    <row r="87" spans="1:34">
      <c r="A87" s="390"/>
      <c r="B87" s="390"/>
      <c r="C87" s="390"/>
      <c r="D87" s="390"/>
      <c r="E87" s="390"/>
      <c r="F87" s="390"/>
    </row>
    <row r="93" spans="1:34">
      <c r="S93" s="32"/>
    </row>
    <row r="118" spans="20:21">
      <c r="T118" s="32"/>
      <c r="U118" s="32"/>
    </row>
    <row r="119" spans="20:21">
      <c r="T119" s="32"/>
      <c r="U119" s="32"/>
    </row>
    <row r="122" spans="20:21">
      <c r="T122" s="32"/>
      <c r="U122" s="32"/>
    </row>
    <row r="135" spans="3:21">
      <c r="T135" s="32"/>
      <c r="U135" s="32"/>
    </row>
    <row r="136" spans="3:21">
      <c r="T136" s="32"/>
      <c r="U136" s="32"/>
    </row>
    <row r="139" spans="3:21">
      <c r="C139" s="34"/>
      <c r="D139" s="34"/>
      <c r="E139" s="34"/>
      <c r="F139" s="34"/>
      <c r="G139" s="34"/>
      <c r="H139" s="34"/>
      <c r="I139" s="34"/>
      <c r="J139" s="34"/>
      <c r="K139" s="34"/>
      <c r="L139" s="34"/>
      <c r="M139" s="34"/>
      <c r="N139" s="34"/>
      <c r="O139" s="34"/>
      <c r="P139" s="34"/>
      <c r="Q139" s="34"/>
      <c r="R139" s="34"/>
    </row>
    <row r="144" spans="3:21">
      <c r="K144" s="34"/>
      <c r="L144" s="34"/>
      <c r="M144" s="34"/>
      <c r="N144" s="34"/>
      <c r="O144" s="34"/>
      <c r="P144" s="34"/>
      <c r="Q144" s="34"/>
      <c r="R144" s="34"/>
      <c r="S144" s="35"/>
    </row>
    <row r="145" spans="3:19">
      <c r="C145" s="35"/>
      <c r="D145" s="35"/>
      <c r="E145" s="35"/>
      <c r="F145" s="35"/>
      <c r="G145" s="35"/>
      <c r="H145" s="35"/>
      <c r="I145" s="35"/>
      <c r="J145" s="35"/>
      <c r="K145" s="35"/>
      <c r="L145" s="35"/>
      <c r="M145" s="35"/>
      <c r="N145" s="35"/>
      <c r="O145" s="35"/>
      <c r="P145" s="35"/>
      <c r="Q145" s="35"/>
      <c r="R145" s="35"/>
      <c r="S145" s="35"/>
    </row>
    <row r="146" spans="3:19">
      <c r="C146" s="35"/>
      <c r="D146" s="35"/>
      <c r="E146" s="35"/>
      <c r="F146" s="35"/>
      <c r="G146" s="35"/>
      <c r="H146" s="35"/>
      <c r="I146" s="35"/>
      <c r="J146" s="35"/>
      <c r="K146" s="35"/>
      <c r="L146" s="35"/>
      <c r="M146" s="35"/>
      <c r="N146" s="35"/>
      <c r="O146" s="35"/>
      <c r="P146" s="35"/>
      <c r="Q146" s="35"/>
      <c r="R146" s="35"/>
      <c r="S146" s="35"/>
    </row>
    <row r="147" spans="3:19">
      <c r="C147" s="35"/>
      <c r="D147" s="35"/>
      <c r="E147" s="35"/>
      <c r="F147" s="35"/>
      <c r="G147" s="35"/>
      <c r="H147" s="35"/>
      <c r="I147" s="35"/>
      <c r="J147" s="35"/>
      <c r="K147" s="35"/>
      <c r="L147" s="35"/>
      <c r="M147" s="35"/>
      <c r="N147" s="35"/>
      <c r="O147" s="35"/>
      <c r="P147" s="35"/>
      <c r="Q147" s="35"/>
      <c r="R147" s="35"/>
      <c r="S147" s="35"/>
    </row>
    <row r="148" spans="3:19">
      <c r="C148" s="35"/>
      <c r="D148" s="35"/>
      <c r="E148" s="35"/>
      <c r="F148" s="35"/>
      <c r="G148" s="35"/>
      <c r="H148" s="35"/>
      <c r="I148" s="35"/>
      <c r="J148" s="35"/>
      <c r="K148" s="35"/>
      <c r="L148" s="35"/>
      <c r="M148" s="35"/>
      <c r="N148" s="35"/>
      <c r="O148" s="35"/>
      <c r="P148" s="35"/>
      <c r="Q148" s="35"/>
      <c r="R148" s="35"/>
      <c r="S148" s="35"/>
    </row>
    <row r="149" spans="3:19">
      <c r="C149" s="35"/>
      <c r="D149" s="35"/>
      <c r="E149" s="35"/>
      <c r="F149" s="35"/>
      <c r="G149" s="35"/>
      <c r="H149" s="35"/>
      <c r="I149" s="35"/>
      <c r="J149" s="35"/>
      <c r="K149" s="35"/>
      <c r="L149" s="35"/>
      <c r="M149" s="35"/>
      <c r="N149" s="35"/>
      <c r="O149" s="35"/>
      <c r="P149" s="35"/>
      <c r="Q149" s="35"/>
      <c r="R149" s="35"/>
      <c r="S149" s="35"/>
    </row>
    <row r="150" spans="3:19">
      <c r="C150" s="35"/>
      <c r="D150" s="35"/>
      <c r="E150" s="35"/>
      <c r="F150" s="35"/>
      <c r="G150" s="35"/>
      <c r="H150" s="35"/>
      <c r="I150" s="35"/>
      <c r="J150" s="35"/>
      <c r="K150" s="35"/>
      <c r="L150" s="35"/>
      <c r="M150" s="35"/>
      <c r="N150" s="35"/>
      <c r="O150" s="35"/>
      <c r="P150" s="35"/>
      <c r="Q150" s="35"/>
      <c r="R150" s="35"/>
      <c r="S150" s="35"/>
    </row>
    <row r="151" spans="3:19">
      <c r="C151" s="35"/>
      <c r="D151" s="35"/>
      <c r="E151" s="35"/>
      <c r="F151" s="35"/>
      <c r="G151" s="35"/>
      <c r="H151" s="35"/>
      <c r="I151" s="35"/>
      <c r="J151" s="35"/>
      <c r="K151" s="35"/>
      <c r="L151" s="35"/>
      <c r="M151" s="35"/>
      <c r="N151" s="35"/>
      <c r="O151" s="35"/>
      <c r="P151" s="35"/>
      <c r="Q151" s="35"/>
      <c r="R151" s="35"/>
      <c r="S151" s="35"/>
    </row>
    <row r="152" spans="3:19">
      <c r="C152" s="35"/>
      <c r="D152" s="35"/>
      <c r="E152" s="35"/>
      <c r="F152" s="35"/>
      <c r="G152" s="35"/>
      <c r="H152" s="35"/>
      <c r="I152" s="35"/>
      <c r="J152" s="35"/>
      <c r="K152" s="35"/>
      <c r="L152" s="35"/>
      <c r="M152" s="35"/>
      <c r="N152" s="35"/>
      <c r="O152" s="35"/>
      <c r="P152" s="35"/>
      <c r="Q152" s="35"/>
      <c r="R152" s="35"/>
      <c r="S152" s="35"/>
    </row>
    <row r="153" spans="3:19">
      <c r="C153" s="35"/>
      <c r="D153" s="35"/>
      <c r="E153" s="35"/>
      <c r="F153" s="35"/>
      <c r="G153" s="35"/>
      <c r="H153" s="35"/>
      <c r="I153" s="35"/>
      <c r="J153" s="35"/>
      <c r="K153" s="35"/>
      <c r="L153" s="35"/>
      <c r="M153" s="35"/>
      <c r="N153" s="35"/>
      <c r="O153" s="35"/>
      <c r="P153" s="35"/>
      <c r="Q153" s="35"/>
      <c r="R153" s="35"/>
      <c r="S153" s="35"/>
    </row>
    <row r="154" spans="3:19">
      <c r="C154" s="35"/>
      <c r="D154" s="35"/>
      <c r="E154" s="35"/>
      <c r="F154" s="35"/>
      <c r="G154" s="35"/>
      <c r="H154" s="35"/>
      <c r="I154" s="35"/>
      <c r="J154" s="35"/>
      <c r="K154" s="35"/>
      <c r="L154" s="35"/>
      <c r="M154" s="35"/>
      <c r="N154" s="35"/>
      <c r="O154" s="35"/>
      <c r="P154" s="35"/>
      <c r="Q154" s="35"/>
      <c r="R154" s="35"/>
      <c r="S154" s="35"/>
    </row>
    <row r="155" spans="3:19">
      <c r="C155" s="35"/>
      <c r="D155" s="35"/>
      <c r="E155" s="35"/>
      <c r="F155" s="35"/>
      <c r="G155" s="35"/>
      <c r="H155" s="35"/>
      <c r="I155" s="35"/>
      <c r="J155" s="35"/>
      <c r="K155" s="35"/>
      <c r="L155" s="35"/>
      <c r="M155" s="35"/>
      <c r="N155" s="35"/>
      <c r="O155" s="35"/>
      <c r="P155" s="35"/>
      <c r="Q155" s="35"/>
      <c r="R155" s="35"/>
      <c r="S155" s="35"/>
    </row>
    <row r="156" spans="3:19">
      <c r="C156" s="35"/>
      <c r="D156" s="35"/>
      <c r="E156" s="35"/>
      <c r="F156" s="35"/>
      <c r="G156" s="35"/>
      <c r="H156" s="35"/>
      <c r="I156" s="35"/>
      <c r="J156" s="35"/>
      <c r="K156" s="35"/>
      <c r="L156" s="35"/>
      <c r="M156" s="35"/>
      <c r="N156" s="35"/>
      <c r="O156" s="35"/>
      <c r="P156" s="35"/>
      <c r="Q156" s="35"/>
      <c r="R156" s="35"/>
      <c r="S156" s="35"/>
    </row>
    <row r="157" spans="3:19">
      <c r="C157" s="35"/>
      <c r="D157" s="35"/>
      <c r="E157" s="35"/>
      <c r="F157" s="35"/>
      <c r="G157" s="35"/>
      <c r="H157" s="35"/>
      <c r="I157" s="35"/>
      <c r="J157" s="35"/>
      <c r="K157" s="35"/>
      <c r="L157" s="35"/>
      <c r="M157" s="35"/>
      <c r="N157" s="35"/>
      <c r="O157" s="35"/>
      <c r="P157" s="35"/>
      <c r="Q157" s="35"/>
      <c r="R157" s="35"/>
      <c r="S157" s="35"/>
    </row>
    <row r="158" spans="3:19">
      <c r="C158" s="35"/>
      <c r="D158" s="35"/>
      <c r="E158" s="35"/>
      <c r="F158" s="35"/>
      <c r="G158" s="35"/>
      <c r="H158" s="35"/>
      <c r="I158" s="35"/>
      <c r="J158" s="35"/>
      <c r="K158" s="35"/>
      <c r="L158" s="35"/>
      <c r="M158" s="35"/>
      <c r="N158" s="35"/>
      <c r="O158" s="35"/>
      <c r="P158" s="35"/>
      <c r="Q158" s="35"/>
      <c r="R158" s="35"/>
      <c r="S158" s="35"/>
    </row>
    <row r="159" spans="3:19">
      <c r="C159" s="35"/>
      <c r="D159" s="35"/>
      <c r="E159" s="35"/>
      <c r="F159" s="35"/>
      <c r="G159" s="35"/>
      <c r="H159" s="35"/>
      <c r="I159" s="35"/>
      <c r="J159" s="35"/>
      <c r="K159" s="35"/>
      <c r="L159" s="35"/>
      <c r="M159" s="35"/>
      <c r="N159" s="35"/>
      <c r="O159" s="35"/>
      <c r="P159" s="35"/>
      <c r="Q159" s="35"/>
      <c r="R159" s="35"/>
      <c r="S159" s="35"/>
    </row>
    <row r="160" spans="3:19">
      <c r="C160" s="35"/>
      <c r="D160" s="35"/>
      <c r="E160" s="35"/>
      <c r="F160" s="35"/>
      <c r="G160" s="35"/>
      <c r="H160" s="35"/>
      <c r="I160" s="35"/>
      <c r="J160" s="35"/>
      <c r="K160" s="35"/>
      <c r="L160" s="35"/>
      <c r="M160" s="35"/>
      <c r="N160" s="35"/>
      <c r="O160" s="35"/>
      <c r="P160" s="35"/>
      <c r="Q160" s="35"/>
      <c r="R160" s="35"/>
      <c r="S160" s="35"/>
    </row>
    <row r="161" spans="3:19">
      <c r="C161" s="35"/>
      <c r="D161" s="35"/>
      <c r="E161" s="35"/>
      <c r="F161" s="35"/>
      <c r="G161" s="35"/>
      <c r="H161" s="35"/>
      <c r="I161" s="35"/>
      <c r="J161" s="35"/>
      <c r="K161" s="35"/>
      <c r="L161" s="35"/>
      <c r="M161" s="35"/>
      <c r="N161" s="35"/>
      <c r="O161" s="35"/>
      <c r="P161" s="35"/>
      <c r="Q161" s="35"/>
      <c r="R161" s="35"/>
      <c r="S161" s="35"/>
    </row>
    <row r="162" spans="3:19">
      <c r="C162" s="35"/>
      <c r="D162" s="35"/>
      <c r="E162" s="35"/>
      <c r="F162" s="35"/>
      <c r="G162" s="35"/>
      <c r="H162" s="35"/>
      <c r="I162" s="35"/>
      <c r="J162" s="35"/>
      <c r="K162" s="35"/>
      <c r="L162" s="35"/>
      <c r="M162" s="35"/>
      <c r="N162" s="35"/>
      <c r="O162" s="35"/>
      <c r="P162" s="35"/>
      <c r="Q162" s="35"/>
      <c r="R162" s="35"/>
      <c r="S162" s="35"/>
    </row>
    <row r="163" spans="3:19">
      <c r="C163" s="35"/>
      <c r="D163" s="35"/>
      <c r="E163" s="35"/>
      <c r="F163" s="35"/>
      <c r="G163" s="35"/>
      <c r="H163" s="35"/>
      <c r="I163" s="35"/>
      <c r="J163" s="35"/>
      <c r="K163" s="35"/>
      <c r="L163" s="35"/>
      <c r="M163" s="35"/>
      <c r="N163" s="35"/>
      <c r="O163" s="35"/>
      <c r="P163" s="35"/>
      <c r="Q163" s="35"/>
      <c r="R163" s="35"/>
      <c r="S163" s="35"/>
    </row>
    <row r="164" spans="3:19">
      <c r="C164" s="35"/>
      <c r="D164" s="35"/>
      <c r="E164" s="35"/>
      <c r="F164" s="35"/>
      <c r="G164" s="35"/>
      <c r="H164" s="35"/>
      <c r="I164" s="35"/>
      <c r="J164" s="35"/>
      <c r="K164" s="35"/>
      <c r="L164" s="35"/>
      <c r="M164" s="35"/>
      <c r="N164" s="35"/>
      <c r="O164" s="35"/>
      <c r="P164" s="35"/>
      <c r="Q164" s="35"/>
      <c r="R164" s="35"/>
      <c r="S164" s="35"/>
    </row>
    <row r="165" spans="3:19">
      <c r="C165" s="35"/>
      <c r="D165" s="35"/>
      <c r="E165" s="35"/>
      <c r="F165" s="35"/>
      <c r="G165" s="35"/>
      <c r="H165" s="35"/>
      <c r="I165" s="35"/>
      <c r="J165" s="35"/>
      <c r="K165" s="35"/>
      <c r="L165" s="35"/>
      <c r="M165" s="35"/>
      <c r="N165" s="35"/>
      <c r="O165" s="35"/>
      <c r="P165" s="35"/>
      <c r="Q165" s="35"/>
      <c r="R165" s="35"/>
      <c r="S165" s="35"/>
    </row>
    <row r="166" spans="3:19">
      <c r="C166" s="35"/>
      <c r="D166" s="35"/>
      <c r="E166" s="35"/>
      <c r="F166" s="35"/>
      <c r="G166" s="35"/>
      <c r="H166" s="35"/>
      <c r="I166" s="35"/>
      <c r="J166" s="35"/>
      <c r="K166" s="35"/>
      <c r="L166" s="35"/>
      <c r="M166" s="35"/>
      <c r="N166" s="35"/>
      <c r="O166" s="35"/>
      <c r="P166" s="35"/>
      <c r="Q166" s="35"/>
      <c r="R166" s="35"/>
      <c r="S166" s="35"/>
    </row>
    <row r="167" spans="3:19">
      <c r="C167" s="35"/>
      <c r="D167" s="35"/>
      <c r="E167" s="35"/>
      <c r="F167" s="35"/>
      <c r="G167" s="35"/>
      <c r="H167" s="35"/>
      <c r="I167" s="35"/>
      <c r="J167" s="35"/>
      <c r="K167" s="35"/>
      <c r="L167" s="35"/>
      <c r="M167" s="35"/>
      <c r="N167" s="35"/>
      <c r="O167" s="35"/>
      <c r="P167" s="35"/>
      <c r="Q167" s="35"/>
      <c r="R167" s="35"/>
      <c r="S167" s="35"/>
    </row>
    <row r="168" spans="3:19">
      <c r="C168" s="35"/>
      <c r="D168" s="35"/>
      <c r="E168" s="35"/>
      <c r="F168" s="35"/>
      <c r="G168" s="35"/>
      <c r="H168" s="35"/>
      <c r="I168" s="35"/>
      <c r="J168" s="35"/>
      <c r="K168" s="35"/>
      <c r="L168" s="35"/>
      <c r="M168" s="35"/>
      <c r="N168" s="35"/>
      <c r="O168" s="35"/>
      <c r="P168" s="35"/>
      <c r="Q168" s="35"/>
      <c r="R168" s="35"/>
      <c r="S168" s="35"/>
    </row>
    <row r="170" spans="3:19">
      <c r="C170" s="35"/>
      <c r="D170" s="35"/>
      <c r="E170" s="35"/>
      <c r="F170" s="35"/>
      <c r="G170" s="35"/>
      <c r="H170" s="35"/>
      <c r="I170" s="35"/>
      <c r="J170" s="35"/>
      <c r="K170" s="35"/>
      <c r="L170" s="35"/>
      <c r="M170" s="35"/>
      <c r="N170" s="35"/>
      <c r="O170" s="35"/>
      <c r="P170" s="35"/>
      <c r="Q170" s="35"/>
      <c r="R170" s="35"/>
      <c r="S170" s="35"/>
    </row>
    <row r="178" spans="3:19">
      <c r="C178" s="35"/>
      <c r="D178" s="35"/>
      <c r="E178" s="35"/>
      <c r="F178" s="35"/>
      <c r="G178" s="35"/>
      <c r="H178" s="35"/>
      <c r="I178" s="35"/>
      <c r="J178" s="35"/>
      <c r="K178" s="35"/>
      <c r="L178" s="35"/>
      <c r="M178" s="35"/>
      <c r="N178" s="35"/>
      <c r="O178" s="35"/>
      <c r="P178" s="35"/>
      <c r="Q178" s="35"/>
      <c r="R178" s="35"/>
      <c r="S178" s="35"/>
    </row>
    <row r="179" spans="3:19">
      <c r="C179" s="35"/>
      <c r="D179" s="35"/>
      <c r="E179" s="35"/>
      <c r="F179" s="35"/>
      <c r="G179" s="35"/>
      <c r="H179" s="35"/>
      <c r="I179" s="35"/>
      <c r="J179" s="35"/>
      <c r="K179" s="35"/>
      <c r="L179" s="35"/>
      <c r="M179" s="35"/>
      <c r="N179" s="35"/>
      <c r="O179" s="35"/>
      <c r="P179" s="35"/>
      <c r="Q179" s="35"/>
      <c r="R179" s="35"/>
      <c r="S179" s="35"/>
    </row>
    <row r="180" spans="3:19">
      <c r="C180" s="35"/>
      <c r="D180" s="35"/>
      <c r="E180" s="35"/>
      <c r="F180" s="35"/>
      <c r="G180" s="35"/>
      <c r="H180" s="35"/>
      <c r="I180" s="35"/>
      <c r="J180" s="35"/>
      <c r="K180" s="35"/>
      <c r="L180" s="35"/>
      <c r="M180" s="35"/>
      <c r="N180" s="35"/>
      <c r="O180" s="35"/>
      <c r="P180" s="35"/>
      <c r="Q180" s="35"/>
      <c r="R180" s="35"/>
      <c r="S180" s="35"/>
    </row>
    <row r="181" spans="3:19">
      <c r="C181" s="35"/>
      <c r="D181" s="35"/>
      <c r="E181" s="35"/>
      <c r="F181" s="35"/>
      <c r="G181" s="35"/>
      <c r="H181" s="35"/>
      <c r="I181" s="35"/>
      <c r="J181" s="35"/>
      <c r="K181" s="35"/>
      <c r="L181" s="35"/>
      <c r="M181" s="35"/>
      <c r="N181" s="35"/>
      <c r="O181" s="35"/>
      <c r="P181" s="35"/>
      <c r="Q181" s="35"/>
      <c r="R181" s="35"/>
      <c r="S181" s="34"/>
    </row>
    <row r="182" spans="3:19">
      <c r="C182" s="35"/>
      <c r="D182" s="35"/>
      <c r="E182" s="35"/>
      <c r="F182" s="35"/>
      <c r="G182" s="35"/>
      <c r="H182" s="35"/>
      <c r="I182" s="35"/>
      <c r="J182" s="35"/>
      <c r="K182" s="35"/>
      <c r="L182" s="35"/>
      <c r="M182" s="35"/>
      <c r="N182" s="35"/>
      <c r="O182" s="35"/>
      <c r="P182" s="35"/>
      <c r="Q182" s="35"/>
      <c r="R182" s="35"/>
      <c r="S182" s="34"/>
    </row>
    <row r="183" spans="3:19">
      <c r="C183" s="35"/>
      <c r="D183" s="35"/>
      <c r="E183" s="35"/>
      <c r="F183" s="35"/>
      <c r="G183" s="35"/>
      <c r="H183" s="35"/>
      <c r="I183" s="35"/>
      <c r="J183" s="35"/>
      <c r="K183" s="35"/>
      <c r="L183" s="35"/>
      <c r="M183" s="35"/>
      <c r="N183" s="35"/>
      <c r="O183" s="35"/>
      <c r="P183" s="35"/>
      <c r="Q183" s="35"/>
      <c r="R183" s="35"/>
      <c r="S183" s="34"/>
    </row>
    <row r="184" spans="3:19">
      <c r="C184" s="35"/>
      <c r="D184" s="35"/>
      <c r="E184" s="35"/>
      <c r="F184" s="35"/>
      <c r="G184" s="35"/>
      <c r="H184" s="35"/>
      <c r="I184" s="35"/>
      <c r="J184" s="35"/>
      <c r="K184" s="35"/>
      <c r="L184" s="35"/>
      <c r="M184" s="35"/>
      <c r="N184" s="35"/>
      <c r="O184" s="35"/>
      <c r="P184" s="35"/>
      <c r="Q184" s="35"/>
      <c r="R184" s="35"/>
      <c r="S184" s="34"/>
    </row>
    <row r="185" spans="3:19">
      <c r="C185" s="35"/>
      <c r="D185" s="35"/>
      <c r="E185" s="35"/>
      <c r="F185" s="35"/>
      <c r="G185" s="35"/>
      <c r="H185" s="35"/>
      <c r="I185" s="35"/>
      <c r="J185" s="35"/>
      <c r="K185" s="35"/>
      <c r="L185" s="35"/>
      <c r="M185" s="35"/>
      <c r="N185" s="35"/>
      <c r="O185" s="35"/>
      <c r="P185" s="35"/>
      <c r="Q185" s="35"/>
      <c r="R185" s="35"/>
      <c r="S185" s="34"/>
    </row>
    <row r="186" spans="3:19">
      <c r="C186" s="35"/>
      <c r="D186" s="35"/>
      <c r="E186" s="35"/>
      <c r="F186" s="35"/>
      <c r="G186" s="35"/>
      <c r="H186" s="35"/>
      <c r="I186" s="35"/>
      <c r="J186" s="35"/>
      <c r="K186" s="35"/>
      <c r="L186" s="35"/>
      <c r="M186" s="35"/>
      <c r="N186" s="35"/>
      <c r="O186" s="35"/>
      <c r="P186" s="35"/>
      <c r="Q186" s="35"/>
      <c r="R186" s="35"/>
      <c r="S186" s="34"/>
    </row>
    <row r="187" spans="3:19">
      <c r="C187" s="35"/>
      <c r="D187" s="35"/>
      <c r="E187" s="35"/>
      <c r="F187" s="35"/>
      <c r="G187" s="35"/>
      <c r="H187" s="35"/>
      <c r="I187" s="35"/>
      <c r="J187" s="35"/>
      <c r="K187" s="35"/>
      <c r="L187" s="35"/>
      <c r="M187" s="35"/>
      <c r="N187" s="35"/>
      <c r="O187" s="35"/>
      <c r="P187" s="35"/>
      <c r="Q187" s="35"/>
      <c r="R187" s="35"/>
      <c r="S187" s="34"/>
    </row>
    <row r="188" spans="3:19">
      <c r="C188" s="35"/>
      <c r="D188" s="35"/>
      <c r="E188" s="35"/>
      <c r="F188" s="35"/>
      <c r="G188" s="35"/>
      <c r="H188" s="35"/>
      <c r="I188" s="35"/>
      <c r="J188" s="35"/>
      <c r="K188" s="35"/>
      <c r="L188" s="35"/>
      <c r="M188" s="35"/>
      <c r="N188" s="35"/>
      <c r="O188" s="35"/>
      <c r="P188" s="35"/>
      <c r="Q188" s="35"/>
      <c r="R188" s="35"/>
      <c r="S188" s="34"/>
    </row>
    <row r="189" spans="3:19">
      <c r="C189" s="35"/>
      <c r="D189" s="35"/>
      <c r="E189" s="35"/>
      <c r="F189" s="35"/>
      <c r="G189" s="35"/>
      <c r="H189" s="35"/>
      <c r="I189" s="35"/>
      <c r="J189" s="35"/>
      <c r="K189" s="35"/>
      <c r="L189" s="35"/>
      <c r="M189" s="35"/>
      <c r="N189" s="35"/>
      <c r="O189" s="35"/>
      <c r="P189" s="35"/>
      <c r="Q189" s="35"/>
      <c r="R189" s="35"/>
      <c r="S189" s="34"/>
    </row>
    <row r="190" spans="3:19">
      <c r="C190" s="35"/>
      <c r="D190" s="35"/>
      <c r="E190" s="35"/>
      <c r="F190" s="35"/>
      <c r="G190" s="35"/>
      <c r="H190" s="35"/>
      <c r="I190" s="35"/>
      <c r="J190" s="35"/>
      <c r="K190" s="35"/>
      <c r="L190" s="35"/>
      <c r="M190" s="35"/>
      <c r="N190" s="35"/>
      <c r="O190" s="35"/>
      <c r="P190" s="35"/>
      <c r="Q190" s="35"/>
      <c r="R190" s="35"/>
      <c r="S190" s="34"/>
    </row>
    <row r="191" spans="3:19">
      <c r="C191" s="35"/>
      <c r="D191" s="35"/>
      <c r="E191" s="35"/>
      <c r="F191" s="35"/>
      <c r="G191" s="35"/>
      <c r="H191" s="35"/>
      <c r="I191" s="35"/>
      <c r="J191" s="35"/>
      <c r="K191" s="35"/>
      <c r="L191" s="35"/>
      <c r="M191" s="35"/>
      <c r="N191" s="35"/>
      <c r="O191" s="35"/>
      <c r="P191" s="35"/>
      <c r="Q191" s="35"/>
      <c r="R191" s="35"/>
      <c r="S191" s="34"/>
    </row>
    <row r="192" spans="3:19">
      <c r="C192" s="35"/>
      <c r="D192" s="35"/>
      <c r="E192" s="35"/>
      <c r="F192" s="35"/>
      <c r="G192" s="35"/>
      <c r="H192" s="35"/>
      <c r="I192" s="35"/>
      <c r="J192" s="35"/>
      <c r="K192" s="35"/>
      <c r="L192" s="35"/>
      <c r="M192" s="35"/>
      <c r="N192" s="35"/>
      <c r="O192" s="35"/>
      <c r="P192" s="35"/>
      <c r="Q192" s="35"/>
      <c r="R192" s="35"/>
      <c r="S192" s="34"/>
    </row>
    <row r="193" spans="3:23">
      <c r="C193" s="35"/>
      <c r="D193" s="35"/>
      <c r="E193" s="35"/>
      <c r="F193" s="35"/>
      <c r="G193" s="35"/>
      <c r="H193" s="35"/>
      <c r="I193" s="35"/>
      <c r="J193" s="35"/>
      <c r="K193" s="35"/>
      <c r="L193" s="35"/>
      <c r="M193" s="35"/>
      <c r="N193" s="35"/>
      <c r="O193" s="35"/>
      <c r="P193" s="35"/>
      <c r="Q193" s="35"/>
      <c r="R193" s="35"/>
      <c r="S193" s="34"/>
    </row>
    <row r="194" spans="3:23">
      <c r="C194" s="35"/>
      <c r="D194" s="35"/>
      <c r="E194" s="35"/>
      <c r="F194" s="35"/>
      <c r="G194" s="35"/>
      <c r="H194" s="35"/>
      <c r="I194" s="35"/>
      <c r="J194" s="35"/>
      <c r="K194" s="35"/>
      <c r="L194" s="35"/>
      <c r="M194" s="35"/>
      <c r="N194" s="35"/>
      <c r="O194" s="35"/>
      <c r="P194" s="35"/>
      <c r="Q194" s="35"/>
      <c r="R194" s="35"/>
      <c r="S194" s="34"/>
    </row>
    <row r="195" spans="3:23">
      <c r="C195" s="35"/>
      <c r="D195" s="35"/>
      <c r="E195" s="35"/>
      <c r="F195" s="35"/>
      <c r="G195" s="35"/>
      <c r="H195" s="35"/>
      <c r="I195" s="35"/>
      <c r="J195" s="35"/>
      <c r="K195" s="35"/>
      <c r="L195" s="35"/>
      <c r="M195" s="35"/>
      <c r="N195" s="35"/>
      <c r="O195" s="35"/>
      <c r="P195" s="35"/>
      <c r="Q195" s="35"/>
      <c r="R195" s="35"/>
      <c r="S195" s="35"/>
      <c r="T195" s="35"/>
      <c r="U195" s="35"/>
    </row>
    <row r="197" spans="3:23">
      <c r="C197" s="36"/>
      <c r="D197" s="36"/>
      <c r="E197" s="36"/>
      <c r="F197" s="36"/>
      <c r="G197" s="36"/>
      <c r="H197" s="36"/>
      <c r="I197" s="36"/>
      <c r="J197" s="36"/>
      <c r="K197" s="36"/>
      <c r="L197" s="36"/>
      <c r="M197" s="36"/>
      <c r="N197" s="36"/>
      <c r="O197" s="36"/>
      <c r="P197" s="36"/>
      <c r="Q197" s="36"/>
      <c r="R197" s="36"/>
      <c r="S197" s="36"/>
      <c r="T197" s="35"/>
      <c r="U197" s="35"/>
      <c r="V197" s="36"/>
      <c r="W197" s="36"/>
    </row>
    <row r="198" spans="3:23">
      <c r="C198" s="36"/>
      <c r="D198" s="36"/>
      <c r="E198" s="36"/>
      <c r="F198" s="36"/>
      <c r="G198" s="36"/>
      <c r="H198" s="36"/>
      <c r="I198" s="36"/>
      <c r="J198" s="36"/>
      <c r="K198" s="36"/>
      <c r="L198" s="36"/>
      <c r="M198" s="36"/>
      <c r="N198" s="36"/>
      <c r="O198" s="36"/>
      <c r="P198" s="36"/>
      <c r="Q198" s="36"/>
      <c r="R198" s="36"/>
      <c r="S198" s="36"/>
      <c r="T198" s="35"/>
      <c r="U198" s="35"/>
      <c r="V198" s="36"/>
      <c r="W198" s="36"/>
    </row>
  </sheetData>
  <mergeCells count="9">
    <mergeCell ref="B72:V72"/>
    <mergeCell ref="B73:V73"/>
    <mergeCell ref="B3:V3"/>
    <mergeCell ref="A1:V1"/>
    <mergeCell ref="B33:V33"/>
    <mergeCell ref="B71:S71"/>
    <mergeCell ref="B68:S68"/>
    <mergeCell ref="B69:V69"/>
    <mergeCell ref="B70:V70"/>
  </mergeCells>
  <printOptions horizontalCentered="1"/>
  <pageMargins left="0.25" right="0.25" top="0.75" bottom="0.75" header="0.3" footer="0.3"/>
  <pageSetup scale="5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Q27"/>
  <sheetViews>
    <sheetView workbookViewId="0">
      <selection sqref="A1:O1"/>
    </sheetView>
  </sheetViews>
  <sheetFormatPr defaultColWidth="9.140625" defaultRowHeight="12.75"/>
  <cols>
    <col min="1" max="1" width="13.5703125" style="253" bestFit="1" customWidth="1"/>
    <col min="2" max="14" width="8.28515625" style="253" customWidth="1"/>
    <col min="15" max="15" width="14.42578125" style="253" bestFit="1" customWidth="1"/>
    <col min="16" max="16" width="10.28515625" style="60" bestFit="1" customWidth="1"/>
    <col min="17" max="16384" width="9.140625" style="253"/>
  </cols>
  <sheetData>
    <row r="1" spans="1:17">
      <c r="A1" s="555" t="s">
        <v>487</v>
      </c>
      <c r="B1" s="555"/>
      <c r="C1" s="555"/>
      <c r="D1" s="555"/>
      <c r="E1" s="555"/>
      <c r="F1" s="555"/>
      <c r="G1" s="555"/>
      <c r="H1" s="555"/>
      <c r="I1" s="555"/>
      <c r="J1" s="555"/>
      <c r="K1" s="555"/>
      <c r="L1" s="555"/>
      <c r="M1" s="555"/>
      <c r="N1" s="555"/>
      <c r="O1" s="555"/>
      <c r="P1" s="341"/>
      <c r="Q1" s="256"/>
    </row>
    <row r="2" spans="1:17">
      <c r="A2" s="255"/>
      <c r="B2" s="18"/>
      <c r="C2" s="18"/>
      <c r="D2" s="18"/>
      <c r="E2" s="18"/>
      <c r="F2" s="18"/>
      <c r="G2" s="18"/>
      <c r="H2" s="18"/>
      <c r="I2" s="18"/>
      <c r="J2" s="18"/>
      <c r="K2" s="18"/>
      <c r="L2" s="13"/>
      <c r="M2" s="18"/>
      <c r="N2" s="18"/>
      <c r="O2" s="18"/>
      <c r="P2" s="24"/>
      <c r="Q2" s="255"/>
    </row>
    <row r="3" spans="1:17">
      <c r="A3" s="255"/>
      <c r="B3" s="544" t="s">
        <v>18</v>
      </c>
      <c r="C3" s="544"/>
      <c r="D3" s="544"/>
      <c r="E3" s="544"/>
      <c r="F3" s="544"/>
      <c r="G3" s="544"/>
      <c r="H3" s="544"/>
      <c r="I3" s="544"/>
      <c r="J3" s="544"/>
      <c r="K3" s="544"/>
      <c r="L3" s="544"/>
      <c r="M3" s="544"/>
      <c r="N3" s="544"/>
      <c r="O3" s="544"/>
      <c r="P3" s="83"/>
      <c r="Q3" s="255"/>
    </row>
    <row r="4" spans="1:17">
      <c r="A4" s="11" t="s">
        <v>19</v>
      </c>
      <c r="B4" s="407" t="s">
        <v>455</v>
      </c>
      <c r="C4" s="407" t="s">
        <v>456</v>
      </c>
      <c r="D4" s="407" t="s">
        <v>457</v>
      </c>
      <c r="E4" s="407" t="s">
        <v>458</v>
      </c>
      <c r="F4" s="407" t="s">
        <v>459</v>
      </c>
      <c r="G4" s="407" t="s">
        <v>460</v>
      </c>
      <c r="H4" s="407" t="s">
        <v>461</v>
      </c>
      <c r="I4" s="407" t="s">
        <v>462</v>
      </c>
      <c r="J4" s="407" t="s">
        <v>463</v>
      </c>
      <c r="K4" s="407" t="s">
        <v>464</v>
      </c>
      <c r="L4" s="407" t="s">
        <v>465</v>
      </c>
      <c r="M4" s="407" t="s">
        <v>466</v>
      </c>
      <c r="N4" s="407" t="s">
        <v>467</v>
      </c>
      <c r="O4" s="407" t="s">
        <v>488</v>
      </c>
      <c r="P4" s="26"/>
      <c r="Q4" s="255"/>
    </row>
    <row r="5" spans="1:17">
      <c r="A5" s="12">
        <v>1983</v>
      </c>
      <c r="B5" s="408" t="s">
        <v>36</v>
      </c>
      <c r="C5" s="408" t="s">
        <v>36</v>
      </c>
      <c r="D5" s="408" t="s">
        <v>36</v>
      </c>
      <c r="E5" s="408" t="s">
        <v>36</v>
      </c>
      <c r="F5" s="408" t="s">
        <v>36</v>
      </c>
      <c r="G5" s="408" t="s">
        <v>36</v>
      </c>
      <c r="H5" s="408" t="s">
        <v>36</v>
      </c>
      <c r="I5" s="408" t="s">
        <v>36</v>
      </c>
      <c r="J5" s="408">
        <v>1.0029999999999999</v>
      </c>
      <c r="K5" s="408">
        <v>1.0029999999999999</v>
      </c>
      <c r="L5" s="408">
        <v>1.002</v>
      </c>
      <c r="M5" s="408">
        <v>0.997</v>
      </c>
      <c r="N5" s="408">
        <v>0.999</v>
      </c>
      <c r="O5" s="408" t="s">
        <v>36</v>
      </c>
      <c r="P5" s="23"/>
      <c r="Q5" s="255"/>
    </row>
    <row r="6" spans="1:17">
      <c r="A6" s="12">
        <v>1984</v>
      </c>
      <c r="B6" s="408" t="s">
        <v>36</v>
      </c>
      <c r="C6" s="408" t="s">
        <v>36</v>
      </c>
      <c r="D6" s="408" t="s">
        <v>36</v>
      </c>
      <c r="E6" s="408" t="s">
        <v>36</v>
      </c>
      <c r="F6" s="408" t="s">
        <v>36</v>
      </c>
      <c r="G6" s="408" t="s">
        <v>36</v>
      </c>
      <c r="H6" s="408" t="s">
        <v>36</v>
      </c>
      <c r="I6" s="408">
        <v>1</v>
      </c>
      <c r="J6" s="408">
        <v>1.004</v>
      </c>
      <c r="K6" s="408">
        <v>0.999</v>
      </c>
      <c r="L6" s="408">
        <v>0.999</v>
      </c>
      <c r="M6" s="408">
        <v>1.0009999999999999</v>
      </c>
      <c r="N6" s="408">
        <v>1</v>
      </c>
      <c r="O6" s="408" t="s">
        <v>36</v>
      </c>
      <c r="P6" s="23"/>
      <c r="Q6" s="255"/>
    </row>
    <row r="7" spans="1:17">
      <c r="A7" s="12">
        <v>1985</v>
      </c>
      <c r="B7" s="408" t="s">
        <v>36</v>
      </c>
      <c r="C7" s="408" t="s">
        <v>36</v>
      </c>
      <c r="D7" s="408" t="s">
        <v>36</v>
      </c>
      <c r="E7" s="408" t="s">
        <v>36</v>
      </c>
      <c r="F7" s="408" t="s">
        <v>36</v>
      </c>
      <c r="G7" s="408" t="s">
        <v>36</v>
      </c>
      <c r="H7" s="408">
        <v>1.0029999999999999</v>
      </c>
      <c r="I7" s="408">
        <v>1.004</v>
      </c>
      <c r="J7" s="408">
        <v>1</v>
      </c>
      <c r="K7" s="408">
        <v>0.999</v>
      </c>
      <c r="L7" s="408">
        <v>0.999</v>
      </c>
      <c r="M7" s="408">
        <v>1</v>
      </c>
      <c r="N7" s="408">
        <v>1.0009999999999999</v>
      </c>
      <c r="O7" s="408" t="s">
        <v>36</v>
      </c>
      <c r="P7" s="24"/>
      <c r="Q7" s="255"/>
    </row>
    <row r="8" spans="1:17">
      <c r="A8" s="12">
        <v>1986</v>
      </c>
      <c r="B8" s="408" t="s">
        <v>36</v>
      </c>
      <c r="C8" s="408" t="s">
        <v>36</v>
      </c>
      <c r="D8" s="408" t="s">
        <v>36</v>
      </c>
      <c r="E8" s="408" t="s">
        <v>36</v>
      </c>
      <c r="F8" s="408" t="s">
        <v>36</v>
      </c>
      <c r="G8" s="408">
        <v>1.0049999999999999</v>
      </c>
      <c r="H8" s="408">
        <v>1.004</v>
      </c>
      <c r="I8" s="408">
        <v>1.002</v>
      </c>
      <c r="J8" s="408">
        <v>1.0009999999999999</v>
      </c>
      <c r="K8" s="408">
        <v>0.998</v>
      </c>
      <c r="L8" s="408">
        <v>1.004</v>
      </c>
      <c r="M8" s="408">
        <v>1.004</v>
      </c>
      <c r="N8" s="408" t="s">
        <v>36</v>
      </c>
      <c r="O8" s="408" t="s">
        <v>36</v>
      </c>
      <c r="P8" s="24"/>
      <c r="Q8" s="255"/>
    </row>
    <row r="9" spans="1:17">
      <c r="A9" s="12">
        <v>1987</v>
      </c>
      <c r="B9" s="408" t="s">
        <v>36</v>
      </c>
      <c r="C9" s="408" t="s">
        <v>36</v>
      </c>
      <c r="D9" s="408" t="s">
        <v>36</v>
      </c>
      <c r="E9" s="408" t="s">
        <v>36</v>
      </c>
      <c r="F9" s="408">
        <v>1.0029999999999999</v>
      </c>
      <c r="G9" s="408">
        <v>1.0049999999999999</v>
      </c>
      <c r="H9" s="408">
        <v>1.0029999999999999</v>
      </c>
      <c r="I9" s="408">
        <v>1.0009999999999999</v>
      </c>
      <c r="J9" s="408">
        <v>0.999</v>
      </c>
      <c r="K9" s="408">
        <v>1.0009999999999999</v>
      </c>
      <c r="L9" s="408">
        <v>0.999</v>
      </c>
      <c r="M9" s="408" t="s">
        <v>36</v>
      </c>
      <c r="N9" s="408" t="s">
        <v>36</v>
      </c>
      <c r="O9" s="408" t="s">
        <v>36</v>
      </c>
      <c r="P9" s="24"/>
      <c r="Q9" s="255"/>
    </row>
    <row r="10" spans="1:17">
      <c r="A10" s="12">
        <v>1988</v>
      </c>
      <c r="B10" s="408" t="s">
        <v>36</v>
      </c>
      <c r="C10" s="408" t="s">
        <v>36</v>
      </c>
      <c r="D10" s="408" t="s">
        <v>36</v>
      </c>
      <c r="E10" s="408">
        <v>1.0049999999999999</v>
      </c>
      <c r="F10" s="408">
        <v>1.002</v>
      </c>
      <c r="G10" s="408">
        <v>1.0029999999999999</v>
      </c>
      <c r="H10" s="408">
        <v>1.002</v>
      </c>
      <c r="I10" s="408">
        <v>1</v>
      </c>
      <c r="J10" s="408">
        <v>0.998</v>
      </c>
      <c r="K10" s="408">
        <v>1</v>
      </c>
      <c r="L10" s="408" t="s">
        <v>36</v>
      </c>
      <c r="M10" s="408" t="s">
        <v>36</v>
      </c>
      <c r="N10" s="408" t="s">
        <v>36</v>
      </c>
      <c r="O10" s="408" t="s">
        <v>36</v>
      </c>
      <c r="P10" s="24"/>
      <c r="Q10" s="255"/>
    </row>
    <row r="11" spans="1:17">
      <c r="A11" s="12">
        <v>1989</v>
      </c>
      <c r="B11" s="408" t="s">
        <v>36</v>
      </c>
      <c r="C11" s="408" t="s">
        <v>36</v>
      </c>
      <c r="D11" s="408">
        <v>1.0069999999999999</v>
      </c>
      <c r="E11" s="408">
        <v>1</v>
      </c>
      <c r="F11" s="408">
        <v>1.002</v>
      </c>
      <c r="G11" s="408">
        <v>0.999</v>
      </c>
      <c r="H11" s="408">
        <v>0.999</v>
      </c>
      <c r="I11" s="408">
        <v>1</v>
      </c>
      <c r="J11" s="408">
        <v>0.999</v>
      </c>
      <c r="K11" s="408" t="s">
        <v>36</v>
      </c>
      <c r="L11" s="408" t="s">
        <v>36</v>
      </c>
      <c r="M11" s="408" t="s">
        <v>36</v>
      </c>
      <c r="N11" s="408" t="s">
        <v>36</v>
      </c>
      <c r="O11" s="408" t="s">
        <v>36</v>
      </c>
      <c r="P11" s="24"/>
      <c r="Q11" s="255"/>
    </row>
    <row r="12" spans="1:17">
      <c r="A12" s="12">
        <v>1990</v>
      </c>
      <c r="B12" s="408" t="s">
        <v>36</v>
      </c>
      <c r="C12" s="408">
        <v>1.002</v>
      </c>
      <c r="D12" s="408">
        <v>1.004</v>
      </c>
      <c r="E12" s="408">
        <v>0.997</v>
      </c>
      <c r="F12" s="408">
        <v>1.0009999999999999</v>
      </c>
      <c r="G12" s="408">
        <v>1.0009999999999999</v>
      </c>
      <c r="H12" s="408">
        <v>0.999</v>
      </c>
      <c r="I12" s="408">
        <v>0.998</v>
      </c>
      <c r="J12" s="408" t="s">
        <v>36</v>
      </c>
      <c r="K12" s="408" t="s">
        <v>36</v>
      </c>
      <c r="L12" s="408" t="s">
        <v>36</v>
      </c>
      <c r="M12" s="408" t="s">
        <v>36</v>
      </c>
      <c r="N12" s="408" t="s">
        <v>36</v>
      </c>
      <c r="O12" s="408" t="s">
        <v>36</v>
      </c>
      <c r="P12" s="24"/>
      <c r="Q12" s="255"/>
    </row>
    <row r="13" spans="1:17">
      <c r="A13" s="12">
        <v>1991</v>
      </c>
      <c r="B13" s="408">
        <v>1.004</v>
      </c>
      <c r="C13" s="408">
        <v>1.0009999999999999</v>
      </c>
      <c r="D13" s="408">
        <v>1.0029999999999999</v>
      </c>
      <c r="E13" s="408">
        <v>1.0009999999999999</v>
      </c>
      <c r="F13" s="408">
        <v>0.999</v>
      </c>
      <c r="G13" s="408">
        <v>0.999</v>
      </c>
      <c r="H13" s="408">
        <v>0.998</v>
      </c>
      <c r="I13" s="408" t="s">
        <v>36</v>
      </c>
      <c r="J13" s="408" t="s">
        <v>36</v>
      </c>
      <c r="K13" s="408" t="s">
        <v>36</v>
      </c>
      <c r="L13" s="408" t="s">
        <v>36</v>
      </c>
      <c r="M13" s="408" t="s">
        <v>36</v>
      </c>
      <c r="N13" s="408" t="s">
        <v>36</v>
      </c>
      <c r="O13" s="408" t="s">
        <v>36</v>
      </c>
      <c r="P13" s="24"/>
      <c r="Q13" s="255"/>
    </row>
    <row r="14" spans="1:17">
      <c r="A14" s="12">
        <v>1992</v>
      </c>
      <c r="B14" s="408">
        <v>1.0029999999999999</v>
      </c>
      <c r="C14" s="408">
        <v>1.0029999999999999</v>
      </c>
      <c r="D14" s="408">
        <v>0.999</v>
      </c>
      <c r="E14" s="408">
        <v>1</v>
      </c>
      <c r="F14" s="408">
        <v>1.002</v>
      </c>
      <c r="G14" s="408">
        <v>0.998</v>
      </c>
      <c r="H14" s="408" t="s">
        <v>36</v>
      </c>
      <c r="I14" s="408" t="s">
        <v>36</v>
      </c>
      <c r="J14" s="408" t="s">
        <v>36</v>
      </c>
      <c r="K14" s="408" t="s">
        <v>36</v>
      </c>
      <c r="L14" s="408" t="s">
        <v>36</v>
      </c>
      <c r="M14" s="408" t="s">
        <v>36</v>
      </c>
      <c r="N14" s="408" t="s">
        <v>36</v>
      </c>
      <c r="O14" s="408" t="s">
        <v>36</v>
      </c>
      <c r="P14" s="24"/>
      <c r="Q14" s="255"/>
    </row>
    <row r="15" spans="1:17">
      <c r="A15" s="12">
        <v>1993</v>
      </c>
      <c r="B15" s="408">
        <v>1.0009999999999999</v>
      </c>
      <c r="C15" s="408">
        <v>0.999</v>
      </c>
      <c r="D15" s="408">
        <v>0.996</v>
      </c>
      <c r="E15" s="408">
        <v>1</v>
      </c>
      <c r="F15" s="408">
        <v>1</v>
      </c>
      <c r="G15" s="408" t="s">
        <v>36</v>
      </c>
      <c r="H15" s="408" t="s">
        <v>36</v>
      </c>
      <c r="I15" s="408" t="s">
        <v>36</v>
      </c>
      <c r="J15" s="408" t="s">
        <v>36</v>
      </c>
      <c r="K15" s="408" t="s">
        <v>36</v>
      </c>
      <c r="L15" s="408" t="s">
        <v>36</v>
      </c>
      <c r="M15" s="408" t="s">
        <v>36</v>
      </c>
      <c r="N15" s="408" t="s">
        <v>36</v>
      </c>
      <c r="O15" s="408" t="s">
        <v>36</v>
      </c>
      <c r="P15" s="24"/>
      <c r="Q15" s="255"/>
    </row>
    <row r="16" spans="1:17">
      <c r="A16" s="12">
        <v>1994</v>
      </c>
      <c r="B16" s="408">
        <v>1.0009999999999999</v>
      </c>
      <c r="C16" s="408">
        <v>0.996</v>
      </c>
      <c r="D16" s="408">
        <v>0.997</v>
      </c>
      <c r="E16" s="408">
        <v>0.998</v>
      </c>
      <c r="F16" s="408" t="s">
        <v>36</v>
      </c>
      <c r="G16" s="408" t="s">
        <v>36</v>
      </c>
      <c r="H16" s="408" t="s">
        <v>36</v>
      </c>
      <c r="I16" s="408" t="s">
        <v>36</v>
      </c>
      <c r="J16" s="408" t="s">
        <v>36</v>
      </c>
      <c r="K16" s="408" t="s">
        <v>36</v>
      </c>
      <c r="L16" s="408" t="s">
        <v>36</v>
      </c>
      <c r="M16" s="408" t="s">
        <v>36</v>
      </c>
      <c r="N16" s="408" t="s">
        <v>36</v>
      </c>
      <c r="O16" s="408" t="s">
        <v>36</v>
      </c>
      <c r="P16" s="24"/>
      <c r="Q16" s="255"/>
    </row>
    <row r="17" spans="1:17">
      <c r="A17" s="12">
        <v>1995</v>
      </c>
      <c r="B17" s="408">
        <v>0.997</v>
      </c>
      <c r="C17" s="408">
        <v>0.998</v>
      </c>
      <c r="D17" s="408">
        <v>0.999</v>
      </c>
      <c r="E17" s="408" t="s">
        <v>36</v>
      </c>
      <c r="F17" s="408" t="s">
        <v>36</v>
      </c>
      <c r="G17" s="408" t="s">
        <v>36</v>
      </c>
      <c r="H17" s="408" t="s">
        <v>36</v>
      </c>
      <c r="I17" s="408" t="s">
        <v>36</v>
      </c>
      <c r="J17" s="408" t="s">
        <v>36</v>
      </c>
      <c r="K17" s="408" t="s">
        <v>36</v>
      </c>
      <c r="L17" s="408" t="s">
        <v>36</v>
      </c>
      <c r="M17" s="408" t="s">
        <v>36</v>
      </c>
      <c r="N17" s="408" t="s">
        <v>36</v>
      </c>
      <c r="O17" s="408" t="s">
        <v>36</v>
      </c>
      <c r="P17" s="24"/>
      <c r="Q17" s="255"/>
    </row>
    <row r="18" spans="1:17">
      <c r="A18" s="12">
        <v>1996</v>
      </c>
      <c r="B18" s="408">
        <v>0.998</v>
      </c>
      <c r="C18" s="408">
        <v>0.996</v>
      </c>
      <c r="D18" s="408" t="s">
        <v>36</v>
      </c>
      <c r="E18" s="408" t="s">
        <v>36</v>
      </c>
      <c r="F18" s="408" t="s">
        <v>36</v>
      </c>
      <c r="G18" s="408" t="s">
        <v>36</v>
      </c>
      <c r="H18" s="408" t="s">
        <v>36</v>
      </c>
      <c r="I18" s="408" t="s">
        <v>36</v>
      </c>
      <c r="J18" s="408" t="s">
        <v>36</v>
      </c>
      <c r="K18" s="408" t="s">
        <v>36</v>
      </c>
      <c r="L18" s="408" t="s">
        <v>36</v>
      </c>
      <c r="M18" s="408" t="s">
        <v>36</v>
      </c>
      <c r="N18" s="408" t="s">
        <v>36</v>
      </c>
      <c r="O18" s="408" t="s">
        <v>36</v>
      </c>
      <c r="P18" s="24"/>
      <c r="Q18" s="255"/>
    </row>
    <row r="19" spans="1:17">
      <c r="A19" s="12">
        <v>1997</v>
      </c>
      <c r="B19" s="408">
        <v>1</v>
      </c>
      <c r="C19" s="408" t="s">
        <v>36</v>
      </c>
      <c r="D19" s="408" t="s">
        <v>36</v>
      </c>
      <c r="E19" s="408" t="s">
        <v>36</v>
      </c>
      <c r="F19" s="408" t="s">
        <v>36</v>
      </c>
      <c r="G19" s="408" t="s">
        <v>36</v>
      </c>
      <c r="H19" s="408" t="s">
        <v>36</v>
      </c>
      <c r="I19" s="408" t="s">
        <v>36</v>
      </c>
      <c r="J19" s="408" t="s">
        <v>36</v>
      </c>
      <c r="K19" s="408" t="s">
        <v>36</v>
      </c>
      <c r="L19" s="408" t="s">
        <v>36</v>
      </c>
      <c r="M19" s="408" t="s">
        <v>36</v>
      </c>
      <c r="N19" s="408" t="s">
        <v>36</v>
      </c>
      <c r="O19" s="408" t="s">
        <v>36</v>
      </c>
      <c r="P19" s="24"/>
      <c r="Q19" s="255"/>
    </row>
    <row r="20" spans="1:17">
      <c r="A20" s="12"/>
      <c r="B20" s="408"/>
      <c r="C20" s="408"/>
      <c r="D20" s="408"/>
      <c r="E20" s="408"/>
      <c r="F20" s="408"/>
      <c r="G20" s="408"/>
      <c r="H20" s="408"/>
      <c r="I20" s="408"/>
      <c r="J20" s="408"/>
      <c r="K20" s="408"/>
      <c r="L20" s="408"/>
      <c r="M20" s="408"/>
      <c r="N20" s="408"/>
      <c r="O20" s="408"/>
      <c r="P20" s="23"/>
      <c r="Q20" s="255"/>
    </row>
    <row r="21" spans="1:17">
      <c r="A21" s="20"/>
      <c r="B21" s="408"/>
      <c r="C21" s="408"/>
      <c r="D21" s="408"/>
      <c r="E21" s="408"/>
      <c r="F21" s="408"/>
      <c r="G21" s="408"/>
      <c r="H21" s="408"/>
      <c r="I21" s="408"/>
      <c r="J21" s="408"/>
      <c r="K21" s="408"/>
      <c r="L21" s="408"/>
      <c r="M21" s="408"/>
      <c r="N21" s="408"/>
      <c r="O21" s="408"/>
      <c r="P21" s="26"/>
      <c r="Q21" s="255"/>
    </row>
    <row r="22" spans="1:17">
      <c r="A22" s="12" t="s">
        <v>38</v>
      </c>
      <c r="B22" s="13">
        <f>AVERAGE(B14:B19)</f>
        <v>1</v>
      </c>
      <c r="C22" s="13">
        <f>AVERAGE(C13:C18)</f>
        <v>0.99883333333333335</v>
      </c>
      <c r="D22" s="13">
        <f>AVERAGE(D12:D17)</f>
        <v>0.99966666666666659</v>
      </c>
      <c r="E22" s="13">
        <f>AVERAGE(E11:E16)</f>
        <v>0.9993333333333333</v>
      </c>
      <c r="F22" s="13">
        <f>AVERAGE(F10:F15)</f>
        <v>1.0009999999999999</v>
      </c>
      <c r="G22" s="13">
        <f>AVERAGE(G9:G14)</f>
        <v>1.0008333333333332</v>
      </c>
      <c r="H22" s="13">
        <f>AVERAGE(H8:H13)</f>
        <v>1.0008333333333332</v>
      </c>
      <c r="I22" s="13">
        <f>AVERAGE(I7:I12)</f>
        <v>1.0008333333333332</v>
      </c>
      <c r="J22" s="13">
        <f>AVERAGE(J6:J11)</f>
        <v>1.0001666666666666</v>
      </c>
      <c r="K22" s="13">
        <f>AVERAGE(K5:K10)</f>
        <v>1</v>
      </c>
      <c r="L22" s="13">
        <f>AVERAGE(L5:L9)</f>
        <v>1.0005999999999999</v>
      </c>
      <c r="M22" s="13">
        <f>AVERAGE(M5:M8)</f>
        <v>1.0004999999999999</v>
      </c>
      <c r="N22" s="13">
        <f>AVERAGE(N5:N7)</f>
        <v>1</v>
      </c>
      <c r="O22" s="13"/>
      <c r="P22" s="23"/>
      <c r="Q22" s="13"/>
    </row>
    <row r="23" spans="1:17">
      <c r="A23" s="12" t="s">
        <v>21</v>
      </c>
      <c r="B23" s="13">
        <f t="shared" ref="B23:L23" si="0">B22*C23</f>
        <v>1.0316759732500629</v>
      </c>
      <c r="C23" s="13">
        <f t="shared" si="0"/>
        <v>1.0316759732500629</v>
      </c>
      <c r="D23" s="13">
        <f t="shared" si="0"/>
        <v>1.0328810010846616</v>
      </c>
      <c r="E23" s="13">
        <f t="shared" si="0"/>
        <v>1.0332254095545133</v>
      </c>
      <c r="F23" s="13">
        <f t="shared" si="0"/>
        <v>1.0339146860118544</v>
      </c>
      <c r="G23" s="13">
        <f t="shared" si="0"/>
        <v>1.0328818042076469</v>
      </c>
      <c r="H23" s="13">
        <f t="shared" si="0"/>
        <v>1.0320217860526031</v>
      </c>
      <c r="I23" s="13">
        <f t="shared" si="0"/>
        <v>1.0311624839826177</v>
      </c>
      <c r="J23" s="13">
        <f t="shared" si="0"/>
        <v>1.0303038974014498</v>
      </c>
      <c r="K23" s="13">
        <f t="shared" si="0"/>
        <v>1.0301322086999998</v>
      </c>
      <c r="L23" s="13">
        <f t="shared" si="0"/>
        <v>1.0301322086999998</v>
      </c>
      <c r="M23" s="13">
        <f>M22*N23</f>
        <v>1.0295144999999999</v>
      </c>
      <c r="N23" s="13">
        <f>N22*O23</f>
        <v>1.0289999999999999</v>
      </c>
      <c r="O23" s="13">
        <f>'Exhibit 2.4.2'!T48</f>
        <v>1.0289999999999999</v>
      </c>
      <c r="P23" s="24"/>
      <c r="Q23" s="255"/>
    </row>
    <row r="24" spans="1:17">
      <c r="A24" s="255"/>
      <c r="B24" s="194"/>
      <c r="C24" s="194"/>
      <c r="D24" s="194"/>
      <c r="E24" s="194"/>
      <c r="F24" s="194"/>
      <c r="G24" s="194"/>
      <c r="H24" s="194"/>
      <c r="I24" s="194"/>
      <c r="J24" s="194"/>
      <c r="K24" s="194"/>
      <c r="L24" s="194"/>
      <c r="M24" s="194"/>
      <c r="N24" s="194"/>
      <c r="O24" s="194"/>
      <c r="P24" s="1"/>
      <c r="Q24" s="255"/>
    </row>
    <row r="25" spans="1:17">
      <c r="A25" s="9" t="s">
        <v>391</v>
      </c>
      <c r="B25" s="529" t="s">
        <v>425</v>
      </c>
      <c r="C25" s="529"/>
      <c r="D25" s="529"/>
      <c r="E25" s="529"/>
      <c r="F25" s="529"/>
      <c r="G25" s="529"/>
      <c r="H25" s="529"/>
      <c r="I25" s="529"/>
      <c r="J25" s="529"/>
      <c r="K25" s="529"/>
      <c r="L25" s="529"/>
      <c r="M25" s="529"/>
      <c r="N25" s="529"/>
      <c r="O25" s="529"/>
      <c r="P25" s="250"/>
      <c r="Q25" s="230"/>
    </row>
    <row r="26" spans="1:17">
      <c r="A26" s="9"/>
      <c r="B26" s="525"/>
      <c r="C26" s="525"/>
      <c r="D26" s="525"/>
      <c r="E26" s="525"/>
      <c r="F26" s="525"/>
      <c r="G26" s="525"/>
      <c r="H26" s="525"/>
      <c r="I26" s="525"/>
      <c r="J26" s="525"/>
      <c r="K26" s="525"/>
      <c r="L26" s="525"/>
      <c r="M26" s="525"/>
      <c r="N26" s="525"/>
      <c r="O26" s="525"/>
      <c r="P26" s="24"/>
      <c r="Q26" s="255"/>
    </row>
    <row r="27" spans="1:17">
      <c r="A27" s="9"/>
      <c r="B27" s="255"/>
    </row>
  </sheetData>
  <mergeCells count="3">
    <mergeCell ref="B25:O26"/>
    <mergeCell ref="B3:O3"/>
    <mergeCell ref="A1:O1"/>
  </mergeCells>
  <pageMargins left="0.7" right="0.7" top="0.75" bottom="0.75" header="0.3" footer="0.3"/>
  <pageSetup scale="90" orientation="landscape" horizontalDpi="1200" verticalDpi="12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R334"/>
  <sheetViews>
    <sheetView zoomScaleNormal="100" workbookViewId="0">
      <selection sqref="A1:I1"/>
    </sheetView>
  </sheetViews>
  <sheetFormatPr defaultColWidth="8.85546875" defaultRowHeight="15"/>
  <cols>
    <col min="1" max="2" width="8.85546875" style="329"/>
    <col min="3" max="3" width="15.7109375" style="329" bestFit="1" customWidth="1"/>
    <col min="4" max="4" width="9" style="329" bestFit="1" customWidth="1"/>
    <col min="5" max="5" width="9.7109375" style="329" bestFit="1" customWidth="1"/>
    <col min="6" max="7" width="9" style="329" bestFit="1" customWidth="1"/>
    <col min="8" max="8" width="10.5703125" style="329" bestFit="1" customWidth="1"/>
    <col min="9" max="9" width="11.28515625" style="329" customWidth="1"/>
    <col min="10" max="14" width="9.5703125" style="329" customWidth="1"/>
    <col min="15" max="16384" width="8.85546875" style="329"/>
  </cols>
  <sheetData>
    <row r="1" spans="1:11" s="283" customFormat="1" ht="12.75">
      <c r="A1" s="547" t="s">
        <v>37</v>
      </c>
      <c r="B1" s="547"/>
      <c r="C1" s="547"/>
      <c r="D1" s="547"/>
      <c r="E1" s="547"/>
      <c r="F1" s="547"/>
      <c r="G1" s="547"/>
      <c r="H1" s="547"/>
      <c r="I1" s="547"/>
      <c r="J1" s="281"/>
      <c r="K1" s="281"/>
    </row>
    <row r="2" spans="1:11" s="283" customFormat="1" ht="12.75">
      <c r="A2" s="547" t="s">
        <v>297</v>
      </c>
      <c r="B2" s="547"/>
      <c r="C2" s="547"/>
      <c r="D2" s="547"/>
      <c r="E2" s="547"/>
      <c r="F2" s="547"/>
      <c r="G2" s="547"/>
      <c r="H2" s="547"/>
      <c r="I2" s="547"/>
      <c r="J2" s="281"/>
      <c r="K2" s="281"/>
    </row>
    <row r="3" spans="1:11" s="283" customFormat="1" ht="12.75">
      <c r="A3" s="547" t="s">
        <v>298</v>
      </c>
      <c r="B3" s="547"/>
      <c r="C3" s="547"/>
      <c r="D3" s="547"/>
      <c r="E3" s="547"/>
      <c r="F3" s="547"/>
      <c r="G3" s="547"/>
      <c r="H3" s="547"/>
      <c r="I3" s="547"/>
      <c r="J3" s="281"/>
      <c r="K3" s="281"/>
    </row>
    <row r="4" spans="1:11" s="283" customFormat="1" ht="12.75">
      <c r="A4" s="281"/>
      <c r="B4" s="281"/>
      <c r="C4" s="281"/>
      <c r="D4" s="281"/>
      <c r="E4" s="281"/>
      <c r="F4" s="281"/>
      <c r="G4" s="281"/>
      <c r="H4" s="281"/>
      <c r="I4" s="281"/>
      <c r="J4" s="281"/>
      <c r="K4" s="281"/>
    </row>
    <row r="5" spans="1:11" s="283" customFormat="1" ht="12.75"/>
    <row r="6" spans="1:11" s="283" customFormat="1" ht="12.75">
      <c r="A6" s="548" t="s">
        <v>299</v>
      </c>
      <c r="B6" s="548"/>
      <c r="C6" s="548"/>
      <c r="D6" s="548"/>
      <c r="E6" s="548"/>
      <c r="F6" s="548"/>
      <c r="G6" s="548"/>
      <c r="H6" s="548"/>
      <c r="I6" s="548"/>
    </row>
    <row r="7" spans="1:11" s="283" customFormat="1" ht="12.75"/>
    <row r="8" spans="1:11" s="283" customFormat="1" ht="12.75">
      <c r="C8" s="285" t="s">
        <v>218</v>
      </c>
      <c r="D8" s="546"/>
      <c r="E8" s="546"/>
      <c r="F8" s="546"/>
      <c r="G8" s="546"/>
      <c r="H8" s="546"/>
      <c r="I8" s="546"/>
      <c r="J8" s="79"/>
    </row>
    <row r="9" spans="1:11" s="283" customFormat="1" ht="12.75">
      <c r="C9" s="38" t="s">
        <v>8</v>
      </c>
      <c r="D9" s="427">
        <v>15</v>
      </c>
      <c r="E9" s="427">
        <v>27</v>
      </c>
      <c r="F9" s="427">
        <v>39</v>
      </c>
      <c r="G9" s="427">
        <v>51</v>
      </c>
      <c r="H9" s="427">
        <v>63</v>
      </c>
      <c r="I9" s="427">
        <v>75</v>
      </c>
      <c r="J9" s="38"/>
    </row>
    <row r="10" spans="1:11" s="283" customFormat="1" ht="4.5" customHeight="1">
      <c r="D10" s="409"/>
      <c r="E10" s="409"/>
      <c r="F10" s="409"/>
      <c r="G10" s="409"/>
      <c r="H10" s="409"/>
      <c r="I10" s="409"/>
    </row>
    <row r="11" spans="1:11" s="283" customFormat="1" ht="12.75">
      <c r="C11" s="285">
        <v>2010</v>
      </c>
      <c r="D11" s="428"/>
      <c r="E11" s="428"/>
      <c r="F11" s="428"/>
      <c r="G11" s="428"/>
      <c r="H11" s="428"/>
      <c r="I11" s="428">
        <v>117260</v>
      </c>
    </row>
    <row r="12" spans="1:11" s="283" customFormat="1" ht="12.75">
      <c r="C12" s="285">
        <v>2011</v>
      </c>
      <c r="D12" s="428"/>
      <c r="E12" s="428"/>
      <c r="F12" s="428"/>
      <c r="G12" s="428"/>
      <c r="H12" s="428">
        <v>117817</v>
      </c>
      <c r="I12" s="428">
        <v>118059</v>
      </c>
    </row>
    <row r="13" spans="1:11" s="283" customFormat="1" ht="12.75">
      <c r="C13" s="285">
        <v>2012</v>
      </c>
      <c r="D13" s="428"/>
      <c r="E13" s="428"/>
      <c r="F13" s="428"/>
      <c r="G13" s="428">
        <v>123987.99999999997</v>
      </c>
      <c r="H13" s="428">
        <v>124552.99999999997</v>
      </c>
      <c r="I13" s="428">
        <v>124853.99999999999</v>
      </c>
    </row>
    <row r="14" spans="1:11" s="283" customFormat="1" ht="12.75">
      <c r="C14" s="285">
        <v>2013</v>
      </c>
      <c r="D14" s="428"/>
      <c r="E14" s="428"/>
      <c r="F14" s="428">
        <v>131398</v>
      </c>
      <c r="G14" s="428">
        <v>132372</v>
      </c>
      <c r="H14" s="428">
        <v>132916</v>
      </c>
      <c r="I14" s="428">
        <v>133098</v>
      </c>
    </row>
    <row r="15" spans="1:11" s="283" customFormat="1" ht="12.75">
      <c r="C15" s="285">
        <v>2014</v>
      </c>
      <c r="D15" s="428"/>
      <c r="E15" s="428">
        <v>135175</v>
      </c>
      <c r="F15" s="428">
        <v>137778</v>
      </c>
      <c r="G15" s="428">
        <v>138876</v>
      </c>
      <c r="H15" s="428">
        <v>139367</v>
      </c>
      <c r="I15" s="428"/>
    </row>
    <row r="16" spans="1:11" s="283" customFormat="1" ht="12.75">
      <c r="C16" s="285">
        <v>2015</v>
      </c>
      <c r="D16" s="428">
        <v>128732.99999999999</v>
      </c>
      <c r="E16" s="428">
        <v>141546</v>
      </c>
      <c r="F16" s="428">
        <v>143811</v>
      </c>
      <c r="G16" s="428">
        <v>144486</v>
      </c>
      <c r="H16" s="428"/>
      <c r="I16" s="428"/>
    </row>
    <row r="17" spans="1:18" s="283" customFormat="1" ht="12.75">
      <c r="C17" s="285">
        <v>2016</v>
      </c>
      <c r="D17" s="428">
        <v>131171</v>
      </c>
      <c r="E17" s="428">
        <v>144370</v>
      </c>
      <c r="F17" s="428">
        <v>147154</v>
      </c>
      <c r="G17" s="428"/>
      <c r="H17" s="428"/>
      <c r="I17" s="428"/>
    </row>
    <row r="18" spans="1:18" s="283" customFormat="1" ht="12.75">
      <c r="C18" s="285">
        <v>2017</v>
      </c>
      <c r="D18" s="428">
        <v>133390</v>
      </c>
      <c r="E18" s="428">
        <v>145143</v>
      </c>
      <c r="F18" s="428"/>
      <c r="G18" s="428"/>
      <c r="H18" s="428"/>
      <c r="I18" s="428"/>
    </row>
    <row r="19" spans="1:18" s="283" customFormat="1" ht="12.75">
      <c r="C19" s="285">
        <v>2018</v>
      </c>
      <c r="D19" s="428">
        <v>135849</v>
      </c>
      <c r="E19" s="428"/>
      <c r="F19" s="428"/>
      <c r="G19" s="428"/>
      <c r="H19" s="428"/>
      <c r="I19" s="428"/>
    </row>
    <row r="20" spans="1:18" s="283" customFormat="1" ht="12.75">
      <c r="C20" s="285"/>
      <c r="D20" s="96"/>
      <c r="E20" s="96"/>
      <c r="F20" s="96"/>
      <c r="G20" s="96"/>
      <c r="H20" s="96"/>
      <c r="I20" s="96"/>
    </row>
    <row r="21" spans="1:18" s="283" customFormat="1" ht="12.75">
      <c r="A21" s="548" t="s">
        <v>300</v>
      </c>
      <c r="B21" s="548"/>
      <c r="C21" s="548"/>
      <c r="D21" s="548"/>
      <c r="E21" s="548"/>
      <c r="F21" s="548"/>
      <c r="G21" s="548"/>
      <c r="H21" s="548"/>
      <c r="I21" s="548"/>
    </row>
    <row r="22" spans="1:18" s="283" customFormat="1" ht="12.75">
      <c r="A22" s="65"/>
      <c r="B22" s="65"/>
      <c r="C22" s="66"/>
      <c r="D22" s="66"/>
      <c r="E22" s="66"/>
      <c r="F22" s="66"/>
      <c r="G22" s="66"/>
      <c r="H22" s="66"/>
      <c r="I22" s="66"/>
      <c r="J22" s="66"/>
    </row>
    <row r="23" spans="1:18" s="283" customFormat="1" ht="12.75">
      <c r="C23" s="285" t="s">
        <v>60</v>
      </c>
      <c r="D23" s="546"/>
      <c r="E23" s="546"/>
      <c r="F23" s="546"/>
      <c r="G23" s="546"/>
      <c r="H23" s="546"/>
      <c r="I23" s="546"/>
      <c r="J23" s="335"/>
      <c r="K23" s="335"/>
      <c r="L23" s="335"/>
      <c r="M23" s="335"/>
      <c r="N23" s="335"/>
      <c r="O23" s="335"/>
      <c r="P23" s="286"/>
      <c r="Q23" s="286"/>
    </row>
    <row r="24" spans="1:18" s="283" customFormat="1" ht="12.75">
      <c r="C24" s="38" t="s">
        <v>8</v>
      </c>
      <c r="D24" s="100" t="s">
        <v>479</v>
      </c>
      <c r="E24" s="100" t="s">
        <v>480</v>
      </c>
      <c r="F24" s="100" t="s">
        <v>481</v>
      </c>
      <c r="G24" s="100" t="s">
        <v>482</v>
      </c>
      <c r="H24" s="100" t="s">
        <v>483</v>
      </c>
      <c r="I24" s="100" t="s">
        <v>484</v>
      </c>
      <c r="J24" s="336"/>
      <c r="K24" s="336"/>
      <c r="L24" s="336"/>
      <c r="M24" s="336"/>
      <c r="N24" s="336"/>
      <c r="O24" s="336"/>
      <c r="P24" s="336"/>
      <c r="Q24" s="336"/>
      <c r="R24" s="286"/>
    </row>
    <row r="25" spans="1:18" s="283" customFormat="1" ht="4.5" customHeight="1"/>
    <row r="26" spans="1:18" s="283" customFormat="1" ht="12.75">
      <c r="C26" s="285">
        <v>2011</v>
      </c>
      <c r="D26" s="70"/>
      <c r="E26" s="70"/>
      <c r="F26" s="70"/>
      <c r="G26" s="70"/>
      <c r="H26" s="213">
        <f t="shared" ref="H26" si="0">I12/H12</f>
        <v>1.0020540329494045</v>
      </c>
      <c r="I26" s="70"/>
      <c r="J26" s="70"/>
      <c r="K26" s="70"/>
      <c r="L26" s="70"/>
    </row>
    <row r="27" spans="1:18" s="283" customFormat="1" ht="12.75">
      <c r="C27" s="285">
        <v>2012</v>
      </c>
      <c r="D27" s="70"/>
      <c r="E27" s="70"/>
      <c r="F27" s="70"/>
      <c r="G27" s="213">
        <f t="shared" ref="G27:H27" si="1">H13/G13</f>
        <v>1.0045568926025099</v>
      </c>
      <c r="H27" s="213">
        <f t="shared" si="1"/>
        <v>1.0024166419114755</v>
      </c>
      <c r="I27" s="70"/>
      <c r="J27" s="70"/>
      <c r="K27" s="70"/>
      <c r="L27" s="70"/>
    </row>
    <row r="28" spans="1:18" s="283" customFormat="1" ht="12.75">
      <c r="C28" s="285">
        <v>2013</v>
      </c>
      <c r="D28" s="70"/>
      <c r="E28" s="70"/>
      <c r="F28" s="213">
        <f t="shared" ref="F28:G29" si="2">G14/F14</f>
        <v>1.0074125937989924</v>
      </c>
      <c r="G28" s="213">
        <f t="shared" si="2"/>
        <v>1.0041096304354395</v>
      </c>
      <c r="H28" s="213">
        <f>I14/H14</f>
        <v>1.0013692858647567</v>
      </c>
      <c r="I28" s="70"/>
      <c r="J28" s="70"/>
      <c r="K28" s="70"/>
      <c r="L28" s="70"/>
    </row>
    <row r="29" spans="1:18" s="283" customFormat="1" ht="12.75">
      <c r="C29" s="285">
        <v>2014</v>
      </c>
      <c r="D29" s="70"/>
      <c r="E29" s="213">
        <f t="shared" ref="D29:E31" si="3">F15/E15</f>
        <v>1.0192565193267986</v>
      </c>
      <c r="F29" s="213">
        <f t="shared" si="2"/>
        <v>1.0079693419849323</v>
      </c>
      <c r="G29" s="213">
        <f>H15/G15</f>
        <v>1.0035355280970073</v>
      </c>
      <c r="H29" s="70"/>
      <c r="I29" s="70"/>
      <c r="J29" s="70"/>
      <c r="K29" s="70"/>
      <c r="L29" s="70"/>
    </row>
    <row r="30" spans="1:18" s="283" customFormat="1" ht="12.75">
      <c r="C30" s="285">
        <v>2015</v>
      </c>
      <c r="D30" s="213">
        <f t="shared" si="3"/>
        <v>1.0995315886369463</v>
      </c>
      <c r="E30" s="213">
        <f t="shared" si="3"/>
        <v>1.0160018651180536</v>
      </c>
      <c r="F30" s="213">
        <f>G16/F16</f>
        <v>1.0046936604293135</v>
      </c>
      <c r="G30" s="70"/>
      <c r="H30" s="70"/>
      <c r="I30" s="70"/>
      <c r="J30" s="70"/>
      <c r="K30" s="70"/>
      <c r="L30" s="70"/>
    </row>
    <row r="31" spans="1:18" s="283" customFormat="1" ht="12.75">
      <c r="C31" s="285">
        <v>2016</v>
      </c>
      <c r="D31" s="213">
        <f t="shared" si="3"/>
        <v>1.1006243758147762</v>
      </c>
      <c r="E31" s="213">
        <f>F17/E17</f>
        <v>1.0192837847198171</v>
      </c>
      <c r="F31" s="70"/>
      <c r="G31" s="70"/>
      <c r="H31" s="70"/>
      <c r="I31" s="70"/>
      <c r="J31" s="70"/>
      <c r="K31" s="70"/>
      <c r="L31" s="70"/>
    </row>
    <row r="32" spans="1:18" s="283" customFormat="1" ht="12.75">
      <c r="C32" s="285">
        <v>2017</v>
      </c>
      <c r="D32" s="213">
        <f>E18/D18</f>
        <v>1.0881100532273784</v>
      </c>
      <c r="E32" s="70"/>
      <c r="F32" s="70"/>
      <c r="G32" s="70"/>
      <c r="H32" s="70"/>
      <c r="I32" s="70"/>
      <c r="J32" s="70"/>
      <c r="K32" s="70"/>
      <c r="L32" s="70"/>
    </row>
    <row r="33" spans="1:12" s="283" customFormat="1" ht="13.15" customHeight="1">
      <c r="A33" s="65"/>
      <c r="B33" s="65"/>
      <c r="C33" s="70"/>
      <c r="D33" s="389"/>
      <c r="E33" s="70"/>
      <c r="F33" s="70"/>
      <c r="G33" s="206"/>
      <c r="H33" s="70"/>
      <c r="I33" s="70"/>
      <c r="J33" s="70"/>
      <c r="K33" s="70"/>
      <c r="L33" s="70"/>
    </row>
    <row r="34" spans="1:12" s="283" customFormat="1" ht="12.75">
      <c r="C34" s="283" t="s">
        <v>301</v>
      </c>
      <c r="D34" s="70">
        <f>D32</f>
        <v>1.0881100532273784</v>
      </c>
      <c r="E34" s="70">
        <f>E31</f>
        <v>1.0192837847198171</v>
      </c>
      <c r="F34" s="70">
        <f>F30</f>
        <v>1.0046936604293135</v>
      </c>
      <c r="G34" s="70">
        <f>G29</f>
        <v>1.0035355280970073</v>
      </c>
      <c r="H34" s="70">
        <f>H28</f>
        <v>1.0013692858647567</v>
      </c>
      <c r="I34" s="70"/>
    </row>
    <row r="35" spans="1:12" s="283" customFormat="1" ht="12.75">
      <c r="C35" s="283" t="s">
        <v>21</v>
      </c>
      <c r="D35" s="70">
        <f t="shared" ref="D35:G35" si="4">D34*E35</f>
        <v>1.1249693241747722</v>
      </c>
      <c r="E35" s="70">
        <f t="shared" si="4"/>
        <v>1.0338745799085927</v>
      </c>
      <c r="F35" s="70">
        <f t="shared" si="4"/>
        <v>1.0143147525816731</v>
      </c>
      <c r="G35" s="70">
        <f t="shared" si="4"/>
        <v>1.0095761449796035</v>
      </c>
      <c r="H35" s="70">
        <f>H34*I35</f>
        <v>1.0060193353533291</v>
      </c>
      <c r="I35" s="429">
        <v>1.0046436909481968</v>
      </c>
    </row>
    <row r="36" spans="1:12" s="283" customFormat="1" ht="12.75"/>
    <row r="37" spans="1:12" s="283" customFormat="1" ht="12.75">
      <c r="J37" s="286"/>
    </row>
    <row r="38" spans="1:12" s="283" customFormat="1" ht="12.75">
      <c r="D38" s="284"/>
      <c r="E38" s="284"/>
      <c r="F38" s="284"/>
      <c r="G38" s="284"/>
      <c r="H38" s="284"/>
      <c r="I38" s="284"/>
      <c r="J38" s="100"/>
    </row>
    <row r="39" spans="1:12" s="283" customFormat="1" ht="12.75">
      <c r="C39" s="283" t="s">
        <v>302</v>
      </c>
      <c r="D39" s="100">
        <v>2018</v>
      </c>
      <c r="E39" s="100">
        <v>2017</v>
      </c>
      <c r="F39" s="100">
        <v>2016</v>
      </c>
      <c r="G39" s="100">
        <v>2015</v>
      </c>
      <c r="H39" s="100">
        <v>2014</v>
      </c>
      <c r="I39" s="100">
        <v>2013</v>
      </c>
      <c r="J39" s="209"/>
    </row>
    <row r="40" spans="1:12" s="283" customFormat="1" ht="12.75">
      <c r="C40" s="283" t="s">
        <v>303</v>
      </c>
      <c r="D40" s="208">
        <f>D35*D19</f>
        <v>152825.95771981863</v>
      </c>
      <c r="E40" s="208">
        <f>E35*E18</f>
        <v>150059.65815167286</v>
      </c>
      <c r="F40" s="208">
        <f>F35*F17</f>
        <v>149260.47310140354</v>
      </c>
      <c r="G40" s="208">
        <f>G35*G16</f>
        <v>145869.61888352298</v>
      </c>
      <c r="H40" s="208">
        <f>H35*H15</f>
        <v>140205.89671018743</v>
      </c>
      <c r="I40" s="428">
        <v>133716.06597782311</v>
      </c>
      <c r="J40" s="209"/>
    </row>
    <row r="41" spans="1:12" s="283" customFormat="1" ht="12.75">
      <c r="A41" s="548" t="s">
        <v>304</v>
      </c>
      <c r="B41" s="548"/>
      <c r="C41" s="548"/>
      <c r="D41" s="548"/>
      <c r="E41" s="548"/>
      <c r="F41" s="548"/>
      <c r="G41" s="548"/>
      <c r="H41" s="548"/>
      <c r="I41" s="548"/>
    </row>
    <row r="42" spans="1:12" s="283" customFormat="1" ht="12.75"/>
    <row r="43" spans="1:12" s="283" customFormat="1" ht="12.75">
      <c r="C43" s="285" t="s">
        <v>218</v>
      </c>
      <c r="D43" s="546"/>
      <c r="E43" s="546"/>
      <c r="F43" s="546"/>
      <c r="G43" s="546"/>
      <c r="H43" s="546"/>
      <c r="I43" s="546"/>
    </row>
    <row r="44" spans="1:12" s="283" customFormat="1" ht="12.75">
      <c r="B44" s="285"/>
      <c r="C44" s="38" t="s">
        <v>8</v>
      </c>
      <c r="D44" s="427">
        <v>15</v>
      </c>
      <c r="E44" s="427">
        <v>27</v>
      </c>
      <c r="F44" s="427">
        <v>39</v>
      </c>
      <c r="G44" s="427">
        <v>51</v>
      </c>
      <c r="H44" s="427">
        <v>63</v>
      </c>
      <c r="I44" s="427">
        <v>75</v>
      </c>
      <c r="J44" s="38"/>
    </row>
    <row r="45" spans="1:12" s="283" customFormat="1" ht="4.5" customHeight="1">
      <c r="D45" s="409"/>
      <c r="E45" s="409"/>
      <c r="F45" s="409"/>
      <c r="G45" s="409"/>
      <c r="H45" s="409"/>
      <c r="I45" s="409"/>
    </row>
    <row r="46" spans="1:12" s="283" customFormat="1" ht="12.75">
      <c r="B46" s="285"/>
      <c r="C46" s="285">
        <v>2010</v>
      </c>
      <c r="D46" s="428"/>
      <c r="E46" s="428"/>
      <c r="F46" s="428"/>
      <c r="G46" s="428"/>
      <c r="H46" s="428"/>
      <c r="I46" s="428">
        <v>102249.00000000003</v>
      </c>
    </row>
    <row r="47" spans="1:12" s="283" customFormat="1" ht="12.75">
      <c r="B47" s="285"/>
      <c r="C47" s="285">
        <v>2011</v>
      </c>
      <c r="D47" s="428"/>
      <c r="E47" s="428"/>
      <c r="F47" s="428"/>
      <c r="G47" s="428"/>
      <c r="H47" s="428">
        <v>98064</v>
      </c>
      <c r="I47" s="428">
        <v>104137</v>
      </c>
    </row>
    <row r="48" spans="1:12" s="283" customFormat="1" ht="12.75">
      <c r="C48" s="285">
        <v>2012</v>
      </c>
      <c r="D48" s="428"/>
      <c r="E48" s="428"/>
      <c r="F48" s="428"/>
      <c r="G48" s="428">
        <v>95688</v>
      </c>
      <c r="H48" s="428">
        <v>105187</v>
      </c>
      <c r="I48" s="428">
        <v>111619</v>
      </c>
    </row>
    <row r="49" spans="1:11" s="283" customFormat="1" ht="12.75">
      <c r="C49" s="285">
        <v>2013</v>
      </c>
      <c r="D49" s="428"/>
      <c r="E49" s="428"/>
      <c r="F49" s="428">
        <v>89081.999999999985</v>
      </c>
      <c r="G49" s="428">
        <v>104486.99999999999</v>
      </c>
      <c r="H49" s="428">
        <v>114605.99999999999</v>
      </c>
      <c r="I49" s="428">
        <v>120841</v>
      </c>
    </row>
    <row r="50" spans="1:11" s="283" customFormat="1" ht="13.15" customHeight="1">
      <c r="C50" s="285">
        <v>2014</v>
      </c>
      <c r="D50" s="428"/>
      <c r="E50" s="428">
        <v>72458</v>
      </c>
      <c r="F50" s="428">
        <v>95318</v>
      </c>
      <c r="G50" s="428">
        <v>111796</v>
      </c>
      <c r="H50" s="428">
        <v>121882</v>
      </c>
      <c r="I50" s="428"/>
    </row>
    <row r="51" spans="1:11" s="283" customFormat="1" ht="13.15" customHeight="1">
      <c r="C51" s="285">
        <v>2015</v>
      </c>
      <c r="D51" s="428">
        <v>43771</v>
      </c>
      <c r="E51" s="428">
        <v>78191</v>
      </c>
      <c r="F51" s="428">
        <v>103252.00000000001</v>
      </c>
      <c r="G51" s="428">
        <v>119602</v>
      </c>
      <c r="H51" s="428"/>
      <c r="I51" s="428"/>
    </row>
    <row r="52" spans="1:11" s="283" customFormat="1" ht="13.15" customHeight="1">
      <c r="C52" s="285">
        <v>2016</v>
      </c>
      <c r="D52" s="428">
        <v>46923</v>
      </c>
      <c r="E52" s="428">
        <v>83728</v>
      </c>
      <c r="F52" s="428">
        <v>109606</v>
      </c>
      <c r="G52" s="428"/>
      <c r="H52" s="428"/>
      <c r="I52" s="428"/>
    </row>
    <row r="53" spans="1:11" s="283" customFormat="1" ht="12.75">
      <c r="C53" s="285">
        <v>2017</v>
      </c>
      <c r="D53" s="428">
        <v>50824</v>
      </c>
      <c r="E53" s="428">
        <v>88430</v>
      </c>
      <c r="F53" s="428"/>
      <c r="G53" s="428"/>
      <c r="H53" s="428"/>
      <c r="I53" s="428"/>
    </row>
    <row r="54" spans="1:11" s="283" customFormat="1" ht="12.75">
      <c r="C54" s="285">
        <v>2018</v>
      </c>
      <c r="D54" s="428">
        <v>52750</v>
      </c>
      <c r="E54" s="428"/>
      <c r="F54" s="428"/>
      <c r="G54" s="428"/>
      <c r="H54" s="428"/>
      <c r="I54" s="428"/>
    </row>
    <row r="55" spans="1:11" s="283" customFormat="1" ht="12.75">
      <c r="C55" s="285"/>
    </row>
    <row r="56" spans="1:11" s="283" customFormat="1" ht="12.75">
      <c r="B56" s="549" t="s">
        <v>326</v>
      </c>
      <c r="C56" s="549"/>
      <c r="D56" s="549"/>
      <c r="E56" s="549"/>
      <c r="F56" s="549"/>
      <c r="G56" s="549"/>
      <c r="H56" s="549"/>
      <c r="I56" s="549"/>
    </row>
    <row r="57" spans="1:11">
      <c r="A57" s="326"/>
      <c r="B57" s="326"/>
      <c r="C57" s="326"/>
      <c r="D57" s="326"/>
      <c r="E57" s="326"/>
      <c r="F57" s="326"/>
      <c r="G57" s="326"/>
      <c r="H57" s="326"/>
      <c r="I57" s="326"/>
    </row>
    <row r="58" spans="1:11">
      <c r="A58" s="326"/>
      <c r="B58" s="326"/>
      <c r="C58" s="146"/>
      <c r="D58" s="331"/>
      <c r="E58" s="331"/>
      <c r="F58" s="332"/>
      <c r="G58" s="332"/>
      <c r="H58" s="332"/>
      <c r="I58" s="331"/>
    </row>
    <row r="59" spans="1:11" s="283" customFormat="1" ht="12.75">
      <c r="A59" s="547" t="s">
        <v>37</v>
      </c>
      <c r="B59" s="547"/>
      <c r="C59" s="547"/>
      <c r="D59" s="547"/>
      <c r="E59" s="547"/>
      <c r="F59" s="547"/>
      <c r="G59" s="547"/>
      <c r="H59" s="547"/>
      <c r="I59" s="547"/>
      <c r="J59" s="352"/>
      <c r="K59" s="281"/>
    </row>
    <row r="60" spans="1:11" s="283" customFormat="1" ht="12.75">
      <c r="A60" s="547" t="s">
        <v>297</v>
      </c>
      <c r="B60" s="547"/>
      <c r="C60" s="547"/>
      <c r="D60" s="547"/>
      <c r="E60" s="547"/>
      <c r="F60" s="547"/>
      <c r="G60" s="547"/>
      <c r="H60" s="547"/>
      <c r="I60" s="547"/>
      <c r="J60" s="352"/>
      <c r="K60" s="281"/>
    </row>
    <row r="61" spans="1:11" s="283" customFormat="1" ht="12.75">
      <c r="A61" s="547" t="s">
        <v>298</v>
      </c>
      <c r="B61" s="547"/>
      <c r="C61" s="547"/>
      <c r="D61" s="547"/>
      <c r="E61" s="547"/>
      <c r="F61" s="547"/>
      <c r="G61" s="547"/>
      <c r="H61" s="547"/>
      <c r="I61" s="547"/>
      <c r="J61" s="352"/>
      <c r="K61" s="281"/>
    </row>
    <row r="62" spans="1:11" s="283" customFormat="1" ht="12.75">
      <c r="A62" s="281"/>
      <c r="B62" s="281"/>
      <c r="C62" s="281"/>
      <c r="D62" s="281"/>
      <c r="E62" s="281"/>
      <c r="F62" s="281"/>
      <c r="G62" s="281"/>
      <c r="H62" s="281"/>
      <c r="I62" s="281"/>
      <c r="J62" s="281"/>
      <c r="K62" s="281"/>
    </row>
    <row r="63" spans="1:11" s="283" customFormat="1" ht="12.75"/>
    <row r="64" spans="1:11" s="283" customFormat="1" ht="12.75">
      <c r="A64" s="548" t="s">
        <v>351</v>
      </c>
      <c r="B64" s="548"/>
      <c r="C64" s="548"/>
      <c r="D64" s="548"/>
      <c r="E64" s="548"/>
      <c r="F64" s="548"/>
      <c r="G64" s="548"/>
      <c r="H64" s="548"/>
      <c r="I64" s="548"/>
    </row>
    <row r="65" spans="1:18" s="283" customFormat="1" ht="12.75"/>
    <row r="66" spans="1:18" s="283" customFormat="1" ht="12.75">
      <c r="C66" s="285" t="s">
        <v>218</v>
      </c>
      <c r="D66" s="546"/>
      <c r="E66" s="546"/>
      <c r="F66" s="546"/>
      <c r="G66" s="546"/>
      <c r="H66" s="546"/>
      <c r="I66" s="546"/>
    </row>
    <row r="67" spans="1:18" s="283" customFormat="1" ht="12.75">
      <c r="C67" s="38" t="s">
        <v>8</v>
      </c>
      <c r="D67" s="100">
        <v>15</v>
      </c>
      <c r="E67" s="100">
        <v>27</v>
      </c>
      <c r="F67" s="100">
        <v>39</v>
      </c>
      <c r="G67" s="100">
        <v>51</v>
      </c>
      <c r="H67" s="100">
        <v>63</v>
      </c>
      <c r="I67" s="100">
        <v>75</v>
      </c>
      <c r="J67" s="38"/>
    </row>
    <row r="68" spans="1:18" s="283" customFormat="1" ht="4.5" customHeight="1"/>
    <row r="69" spans="1:18" s="283" customFormat="1" ht="12.75">
      <c r="C69" s="285">
        <v>2010</v>
      </c>
      <c r="D69" s="210"/>
      <c r="E69" s="210"/>
      <c r="F69" s="210"/>
      <c r="G69" s="430"/>
      <c r="H69" s="430"/>
      <c r="I69" s="430">
        <v>0.86713656212285495</v>
      </c>
      <c r="J69" s="210"/>
    </row>
    <row r="70" spans="1:18" s="283" customFormat="1" ht="12.75">
      <c r="C70" s="285">
        <v>2011</v>
      </c>
      <c r="D70" s="210"/>
      <c r="E70" s="210"/>
      <c r="F70" s="210"/>
      <c r="G70" s="430"/>
      <c r="H70" s="430">
        <v>0.82664569465083959</v>
      </c>
      <c r="I70" s="430">
        <v>0.87783898988267328</v>
      </c>
      <c r="J70" s="210"/>
    </row>
    <row r="71" spans="1:18" s="283" customFormat="1" ht="12.75">
      <c r="C71" s="285">
        <v>2012</v>
      </c>
      <c r="D71" s="210"/>
      <c r="E71" s="210"/>
      <c r="F71" s="210"/>
      <c r="G71" s="430">
        <v>0.7628566835360121</v>
      </c>
      <c r="H71" s="430">
        <v>0.83858588298535353</v>
      </c>
      <c r="I71" s="430">
        <v>0.88986393444952483</v>
      </c>
      <c r="J71" s="210"/>
    </row>
    <row r="72" spans="1:18" s="283" customFormat="1" ht="12.75">
      <c r="C72" s="285">
        <v>2013</v>
      </c>
      <c r="D72" s="210"/>
      <c r="E72" s="210"/>
      <c r="F72" s="210">
        <f>F49/HLOOKUP($C72,$D$39:$I$40,2,FALSE)</f>
        <v>0.66620266868137068</v>
      </c>
      <c r="G72" s="210">
        <f>G49/HLOOKUP($C72,$D$39:$I$40,2,FALSE)</f>
        <v>0.78140946815866708</v>
      </c>
      <c r="H72" s="210">
        <f>H49/HLOOKUP($C72,$D$39:$I$40,2,FALSE)</f>
        <v>0.85708474267413359</v>
      </c>
      <c r="I72" s="210">
        <f>I49/HLOOKUP($C72,$D$39:$I$40,2,FALSE)</f>
        <v>0.9037133953674763</v>
      </c>
    </row>
    <row r="73" spans="1:18" s="283" customFormat="1" ht="12.75">
      <c r="C73" s="285">
        <v>2014</v>
      </c>
      <c r="D73" s="210"/>
      <c r="E73" s="210">
        <f>E50/HLOOKUP($C73,$D$39:$I$40,2,FALSE)</f>
        <v>0.51679709413202712</v>
      </c>
      <c r="F73" s="210">
        <f>F50/HLOOKUP($C73,$D$39:$I$40,2,FALSE)</f>
        <v>0.67984301827923155</v>
      </c>
      <c r="G73" s="210">
        <f>G50/HLOOKUP($C73,$D$39:$I$40,2,FALSE)</f>
        <v>0.79737017217676587</v>
      </c>
      <c r="H73" s="210">
        <f>H50/HLOOKUP($C73,$D$39:$I$40,2,FALSE)</f>
        <v>0.86930723214827521</v>
      </c>
      <c r="I73" s="210"/>
    </row>
    <row r="74" spans="1:18" s="283" customFormat="1" ht="12.75">
      <c r="C74" s="285">
        <v>2015</v>
      </c>
      <c r="D74" s="210">
        <f>D51/HLOOKUP($C74,$D$39:$I$40,2,FALSE)</f>
        <v>0.30006933818721487</v>
      </c>
      <c r="E74" s="210">
        <f>E51/HLOOKUP($C74,$D$39:$I$40,2,FALSE)</f>
        <v>0.53603348386366578</v>
      </c>
      <c r="F74" s="210">
        <f>F51/HLOOKUP($C74,$D$39:$I$40,2,FALSE)</f>
        <v>0.70783759353239162</v>
      </c>
      <c r="G74" s="210">
        <f>G51/HLOOKUP($C74,$D$39:$I$40,2,FALSE)</f>
        <v>0.81992399044726583</v>
      </c>
      <c r="H74" s="210"/>
      <c r="I74" s="210"/>
    </row>
    <row r="75" spans="1:18" s="283" customFormat="1" ht="12.75">
      <c r="C75" s="285">
        <v>2016</v>
      </c>
      <c r="D75" s="210">
        <f>D52/HLOOKUP($C75,$D$39:$I$40,2,FALSE)</f>
        <v>0.3143698999809667</v>
      </c>
      <c r="E75" s="210">
        <f>E52/HLOOKUP($C75,$D$39:$I$40,2,FALSE)</f>
        <v>0.56095226191007352</v>
      </c>
      <c r="F75" s="210">
        <f>F52/HLOOKUP($C75,$D$39:$I$40,2,FALSE)</f>
        <v>0.73432703061001714</v>
      </c>
      <c r="G75" s="210"/>
      <c r="H75" s="210"/>
      <c r="I75" s="210"/>
    </row>
    <row r="76" spans="1:18" s="283" customFormat="1" ht="12.75">
      <c r="C76" s="285">
        <v>2017</v>
      </c>
      <c r="D76" s="210">
        <f>D53/HLOOKUP($C76,$D$39:$I$40,2,FALSE)</f>
        <v>0.33869196175716743</v>
      </c>
      <c r="E76" s="210">
        <f>E53/HLOOKUP($C76,$D$39:$I$40,2,FALSE)</f>
        <v>0.58929895675638111</v>
      </c>
      <c r="F76" s="210"/>
      <c r="G76" s="210"/>
      <c r="H76" s="210"/>
      <c r="I76" s="210"/>
    </row>
    <row r="77" spans="1:18" s="283" customFormat="1" ht="12.75">
      <c r="C77" s="285">
        <v>2018</v>
      </c>
      <c r="D77" s="210">
        <f>D54/HLOOKUP($C77,$D$39:$I$40,2,FALSE)</f>
        <v>0.34516387652357128</v>
      </c>
      <c r="E77" s="210"/>
      <c r="F77" s="210"/>
      <c r="G77" s="210"/>
      <c r="H77" s="210"/>
      <c r="I77" s="210"/>
    </row>
    <row r="78" spans="1:18" s="283" customFormat="1" ht="12.75">
      <c r="C78" s="285"/>
      <c r="D78" s="389"/>
      <c r="E78" s="210"/>
      <c r="F78" s="210"/>
      <c r="G78" s="210"/>
      <c r="H78" s="210"/>
      <c r="I78" s="210"/>
    </row>
    <row r="79" spans="1:18" s="283" customFormat="1" ht="12.75">
      <c r="A79" s="548" t="s">
        <v>352</v>
      </c>
      <c r="B79" s="548"/>
      <c r="C79" s="548"/>
      <c r="D79" s="548"/>
      <c r="E79" s="548"/>
      <c r="F79" s="548"/>
      <c r="G79" s="548"/>
      <c r="H79" s="548"/>
      <c r="I79" s="548"/>
      <c r="J79" s="548"/>
      <c r="L79" s="431" t="s">
        <v>534</v>
      </c>
      <c r="M79" s="139"/>
      <c r="N79" s="139"/>
      <c r="O79" s="139"/>
      <c r="P79" s="139"/>
      <c r="Q79" s="139"/>
      <c r="R79" s="139"/>
    </row>
    <row r="80" spans="1:18" s="283" customFormat="1" ht="12.75">
      <c r="L80" s="136"/>
      <c r="M80" s="136"/>
      <c r="N80" s="136"/>
      <c r="O80" s="136"/>
      <c r="P80" s="136"/>
      <c r="Q80" s="136"/>
      <c r="R80" s="136"/>
    </row>
    <row r="81" spans="1:18" s="283" customFormat="1" ht="12.75">
      <c r="C81" s="285" t="s">
        <v>218</v>
      </c>
      <c r="D81" s="546"/>
      <c r="E81" s="546"/>
      <c r="F81" s="546"/>
      <c r="G81" s="546"/>
      <c r="H81" s="546"/>
      <c r="I81" s="546"/>
      <c r="L81" s="392" t="s">
        <v>218</v>
      </c>
      <c r="M81" s="546" t="s">
        <v>350</v>
      </c>
      <c r="N81" s="546"/>
      <c r="O81" s="546"/>
      <c r="P81" s="546"/>
      <c r="Q81" s="546"/>
      <c r="R81" s="546"/>
    </row>
    <row r="82" spans="1:18" s="283" customFormat="1" ht="12.75">
      <c r="C82" s="38" t="s">
        <v>8</v>
      </c>
      <c r="D82" s="100">
        <v>15</v>
      </c>
      <c r="E82" s="100">
        <v>27</v>
      </c>
      <c r="F82" s="100">
        <v>39</v>
      </c>
      <c r="G82" s="100">
        <v>51</v>
      </c>
      <c r="H82" s="100">
        <v>63</v>
      </c>
      <c r="I82" s="100">
        <v>75</v>
      </c>
      <c r="L82" s="38" t="s">
        <v>8</v>
      </c>
      <c r="M82" s="100">
        <f>D82</f>
        <v>15</v>
      </c>
      <c r="N82" s="100">
        <f t="shared" ref="N82:R82" si="5">E82</f>
        <v>27</v>
      </c>
      <c r="O82" s="100">
        <f t="shared" si="5"/>
        <v>39</v>
      </c>
      <c r="P82" s="100">
        <f t="shared" si="5"/>
        <v>51</v>
      </c>
      <c r="Q82" s="100">
        <f t="shared" si="5"/>
        <v>63</v>
      </c>
      <c r="R82" s="100">
        <f t="shared" si="5"/>
        <v>75</v>
      </c>
    </row>
    <row r="83" spans="1:18" s="283" customFormat="1" ht="4.5" customHeight="1">
      <c r="L83" s="389"/>
      <c r="M83" s="389"/>
      <c r="N83" s="389"/>
      <c r="O83" s="389"/>
      <c r="P83" s="389"/>
      <c r="Q83" s="389"/>
      <c r="R83" s="389"/>
    </row>
    <row r="84" spans="1:18" s="283" customFormat="1" ht="12.75">
      <c r="C84" s="285">
        <v>2010</v>
      </c>
      <c r="D84" s="211"/>
      <c r="E84" s="211"/>
      <c r="F84" s="211"/>
      <c r="G84" s="433"/>
      <c r="H84" s="433"/>
      <c r="I84" s="433">
        <v>106561.98227498731</v>
      </c>
      <c r="L84" s="392">
        <f>C84</f>
        <v>2010</v>
      </c>
      <c r="M84" s="211"/>
      <c r="N84" s="211"/>
      <c r="O84" s="211"/>
      <c r="P84" s="432"/>
      <c r="Q84" s="432"/>
      <c r="R84" s="211">
        <f t="shared" ref="M84:R91" si="6">ROUND(I46-I84,0)</f>
        <v>-4313</v>
      </c>
    </row>
    <row r="85" spans="1:18" s="283" customFormat="1" ht="12.75">
      <c r="C85" s="285">
        <v>2011</v>
      </c>
      <c r="D85" s="211"/>
      <c r="E85" s="211"/>
      <c r="F85" s="211"/>
      <c r="G85" s="433"/>
      <c r="H85" s="433">
        <v>103124.88768165132</v>
      </c>
      <c r="I85" s="433">
        <v>107206.45008711798</v>
      </c>
      <c r="L85" s="392">
        <f t="shared" ref="L85:L92" si="7">C85</f>
        <v>2011</v>
      </c>
      <c r="M85" s="211"/>
      <c r="N85" s="211"/>
      <c r="O85" s="211"/>
      <c r="P85" s="432"/>
      <c r="Q85" s="211">
        <f t="shared" si="6"/>
        <v>-5061</v>
      </c>
      <c r="R85" s="211">
        <f t="shared" si="6"/>
        <v>-3069</v>
      </c>
    </row>
    <row r="86" spans="1:18" s="283" customFormat="1" ht="12.75">
      <c r="C86" s="285">
        <v>2012</v>
      </c>
      <c r="D86" s="211"/>
      <c r="E86" s="211"/>
      <c r="F86" s="211"/>
      <c r="G86" s="433">
        <v>102846.16821373666</v>
      </c>
      <c r="H86" s="433">
        <v>109040.49505633961</v>
      </c>
      <c r="I86" s="433">
        <v>113356.19028084569</v>
      </c>
      <c r="L86" s="392">
        <f t="shared" si="7"/>
        <v>2012</v>
      </c>
      <c r="M86" s="211"/>
      <c r="N86" s="211"/>
      <c r="O86" s="211"/>
      <c r="P86" s="211">
        <f t="shared" si="6"/>
        <v>-7158</v>
      </c>
      <c r="Q86" s="211">
        <f t="shared" si="6"/>
        <v>-3853</v>
      </c>
      <c r="R86" s="211">
        <f t="shared" si="6"/>
        <v>-1737</v>
      </c>
    </row>
    <row r="87" spans="1:18" s="283" customFormat="1" ht="12.75">
      <c r="C87" s="285">
        <v>2013</v>
      </c>
      <c r="D87" s="211"/>
      <c r="E87" s="211"/>
      <c r="F87" s="211">
        <f t="shared" ref="F87:F90" si="8">HLOOKUP($C87,$D$39:$I$40,2,FALSE)*F$75</f>
        <v>98191.321674347986</v>
      </c>
      <c r="G87" s="211">
        <f>HLOOKUP($C87,$D$39:$I$40,2,FALSE)*G$74</f>
        <v>109637.01040344661</v>
      </c>
      <c r="H87" s="211">
        <f>HLOOKUP($C87,$D$39:$I$40,2,FALSE)*H$73</f>
        <v>116240.34320893756</v>
      </c>
      <c r="I87" s="211">
        <f>HLOOKUP($C87,$D$39:$I$40,2,FALSE)*I$72</f>
        <v>120841</v>
      </c>
      <c r="L87" s="392">
        <f t="shared" si="7"/>
        <v>2013</v>
      </c>
      <c r="M87" s="211"/>
      <c r="N87" s="211"/>
      <c r="O87" s="211">
        <f t="shared" si="6"/>
        <v>-9109</v>
      </c>
      <c r="P87" s="211">
        <f t="shared" si="6"/>
        <v>-5150</v>
      </c>
      <c r="Q87" s="211">
        <f t="shared" si="6"/>
        <v>-1634</v>
      </c>
      <c r="R87" s="211">
        <f>ROUND(I49-I87,0)</f>
        <v>0</v>
      </c>
    </row>
    <row r="88" spans="1:18" s="283" customFormat="1" ht="12.75">
      <c r="C88" s="285">
        <v>2014</v>
      </c>
      <c r="D88" s="211"/>
      <c r="E88" s="211">
        <f>HLOOKUP($C88,$D$39:$I$40,2,FALSE)*E$76</f>
        <v>82623.188662406377</v>
      </c>
      <c r="F88" s="211">
        <f t="shared" si="8"/>
        <v>102956.97980520671</v>
      </c>
      <c r="G88" s="211">
        <f t="shared" ref="G88:G89" si="9">HLOOKUP($C88,$D$39:$I$40,2,FALSE)*G$74</f>
        <v>114958.17831485406</v>
      </c>
      <c r="H88" s="211">
        <f>HLOOKUP($C88,$D$39:$I$40,2,FALSE)*H$73</f>
        <v>121882</v>
      </c>
      <c r="I88" s="211"/>
      <c r="L88" s="392">
        <f t="shared" si="7"/>
        <v>2014</v>
      </c>
      <c r="M88" s="211"/>
      <c r="N88" s="211">
        <f t="shared" si="6"/>
        <v>-10165</v>
      </c>
      <c r="O88" s="211">
        <f t="shared" si="6"/>
        <v>-7639</v>
      </c>
      <c r="P88" s="211">
        <f t="shared" si="6"/>
        <v>-3162</v>
      </c>
      <c r="Q88" s="211">
        <f>ROUND(H50-H88,0)</f>
        <v>0</v>
      </c>
      <c r="R88" s="211"/>
    </row>
    <row r="89" spans="1:18" s="283" customFormat="1" ht="12.75">
      <c r="C89" s="285">
        <v>2015</v>
      </c>
      <c r="D89" s="211">
        <f t="shared" ref="D89:D91" si="10">HLOOKUP($C89,$D$39:$I$40,2,FALSE)*D$77</f>
        <v>50348.923120852727</v>
      </c>
      <c r="E89" s="211">
        <f t="shared" ref="E89:E91" si="11">HLOOKUP($C89,$D$39:$I$40,2,FALSE)*E$76</f>
        <v>85960.814230511009</v>
      </c>
      <c r="F89" s="211">
        <f t="shared" si="8"/>
        <v>107116.00409095232</v>
      </c>
      <c r="G89" s="211">
        <f t="shared" si="9"/>
        <v>119602</v>
      </c>
      <c r="H89" s="211"/>
      <c r="I89" s="211"/>
      <c r="L89" s="392">
        <f t="shared" si="7"/>
        <v>2015</v>
      </c>
      <c r="M89" s="211">
        <f t="shared" si="6"/>
        <v>-6578</v>
      </c>
      <c r="N89" s="211">
        <f t="shared" si="6"/>
        <v>-7770</v>
      </c>
      <c r="O89" s="211">
        <f t="shared" si="6"/>
        <v>-3864</v>
      </c>
      <c r="P89" s="211">
        <f>ROUND(G51-G89,0)</f>
        <v>0</v>
      </c>
      <c r="Q89" s="211"/>
      <c r="R89" s="211"/>
    </row>
    <row r="90" spans="1:18" s="283" customFormat="1" ht="12.75">
      <c r="C90" s="285">
        <v>2016</v>
      </c>
      <c r="D90" s="211">
        <f t="shared" si="10"/>
        <v>51519.323507422683</v>
      </c>
      <c r="E90" s="211">
        <f t="shared" si="11"/>
        <v>87959.041083620992</v>
      </c>
      <c r="F90" s="211">
        <f t="shared" si="8"/>
        <v>109606</v>
      </c>
      <c r="G90" s="211"/>
      <c r="H90" s="211"/>
      <c r="I90" s="211"/>
      <c r="L90" s="392">
        <f t="shared" si="7"/>
        <v>2016</v>
      </c>
      <c r="M90" s="211">
        <f t="shared" si="6"/>
        <v>-4596</v>
      </c>
      <c r="N90" s="211">
        <f t="shared" si="6"/>
        <v>-4231</v>
      </c>
      <c r="O90" s="211">
        <f>ROUND(F52-F90,0)</f>
        <v>0</v>
      </c>
      <c r="P90" s="211"/>
      <c r="Q90" s="211"/>
      <c r="R90" s="211"/>
    </row>
    <row r="91" spans="1:18" s="283" customFormat="1" ht="12.75">
      <c r="C91" s="285">
        <v>2017</v>
      </c>
      <c r="D91" s="211">
        <f t="shared" si="10"/>
        <v>51795.173317433328</v>
      </c>
      <c r="E91" s="211">
        <f t="shared" si="11"/>
        <v>88430</v>
      </c>
      <c r="F91" s="211"/>
      <c r="G91" s="211"/>
      <c r="H91" s="211"/>
      <c r="I91" s="211"/>
      <c r="L91" s="392">
        <f t="shared" si="7"/>
        <v>2017</v>
      </c>
      <c r="M91" s="211">
        <f t="shared" si="6"/>
        <v>-971</v>
      </c>
      <c r="N91" s="211">
        <f>ROUND(E53-E91,0)</f>
        <v>0</v>
      </c>
      <c r="O91" s="211"/>
      <c r="P91" s="211"/>
      <c r="Q91" s="211"/>
      <c r="R91" s="211"/>
    </row>
    <row r="92" spans="1:18" s="283" customFormat="1" ht="12.75">
      <c r="C92" s="285">
        <v>2018</v>
      </c>
      <c r="D92" s="211">
        <f>HLOOKUP($C92,$D$39:$I$40,2,FALSE)*D$77</f>
        <v>52750</v>
      </c>
      <c r="E92" s="211"/>
      <c r="F92" s="211"/>
      <c r="G92" s="211"/>
      <c r="H92" s="211"/>
      <c r="I92" s="211"/>
      <c r="L92" s="392">
        <f t="shared" si="7"/>
        <v>2018</v>
      </c>
      <c r="M92" s="211">
        <f>ROUND(D54-D92,0)</f>
        <v>0</v>
      </c>
      <c r="N92" s="211"/>
      <c r="O92" s="211"/>
      <c r="P92" s="211"/>
      <c r="Q92" s="211"/>
      <c r="R92" s="211"/>
    </row>
    <row r="93" spans="1:18" s="283" customFormat="1" ht="12.75">
      <c r="C93" s="285"/>
      <c r="E93" s="211"/>
      <c r="F93" s="211"/>
      <c r="G93" s="211"/>
      <c r="H93" s="211"/>
      <c r="I93" s="211"/>
      <c r="L93" s="389"/>
      <c r="M93" s="389"/>
      <c r="N93" s="389"/>
      <c r="O93" s="389"/>
      <c r="P93" s="389"/>
      <c r="Q93" s="389"/>
      <c r="R93" s="389"/>
    </row>
    <row r="94" spans="1:18" s="283" customFormat="1" ht="12.75">
      <c r="A94" s="548" t="s">
        <v>323</v>
      </c>
      <c r="B94" s="548"/>
      <c r="C94" s="548"/>
      <c r="D94" s="548"/>
      <c r="E94" s="548"/>
      <c r="F94" s="548"/>
      <c r="G94" s="548"/>
      <c r="H94" s="548"/>
      <c r="I94" s="548"/>
    </row>
    <row r="95" spans="1:18" s="283" customFormat="1" ht="12.75"/>
    <row r="96" spans="1:18" s="283" customFormat="1" ht="12.75">
      <c r="C96" s="285" t="s">
        <v>218</v>
      </c>
      <c r="D96" s="546"/>
      <c r="E96" s="546"/>
      <c r="F96" s="546"/>
      <c r="G96" s="546"/>
      <c r="H96" s="546"/>
      <c r="I96" s="546"/>
    </row>
    <row r="97" spans="1:10" s="283" customFormat="1" ht="12.75">
      <c r="C97" s="38" t="s">
        <v>8</v>
      </c>
      <c r="D97" s="427">
        <v>15</v>
      </c>
      <c r="E97" s="427">
        <v>27</v>
      </c>
      <c r="F97" s="427">
        <v>39</v>
      </c>
      <c r="G97" s="427">
        <v>51</v>
      </c>
      <c r="H97" s="427">
        <v>63</v>
      </c>
      <c r="I97" s="427">
        <v>75</v>
      </c>
    </row>
    <row r="98" spans="1:10" s="283" customFormat="1" ht="4.5" customHeight="1">
      <c r="D98" s="409"/>
      <c r="E98" s="409"/>
      <c r="F98" s="409"/>
      <c r="G98" s="409"/>
      <c r="H98" s="409"/>
      <c r="I98" s="409"/>
    </row>
    <row r="99" spans="1:10" s="283" customFormat="1" ht="12.75">
      <c r="C99" s="285">
        <v>2010</v>
      </c>
      <c r="D99" s="433"/>
      <c r="E99" s="433"/>
      <c r="F99" s="433"/>
      <c r="G99" s="433"/>
      <c r="H99" s="433"/>
      <c r="I99" s="433">
        <v>21569.608925270659</v>
      </c>
    </row>
    <row r="100" spans="1:10" s="283" customFormat="1" ht="12.75">
      <c r="C100" s="285">
        <v>2011</v>
      </c>
      <c r="D100" s="433"/>
      <c r="E100" s="433"/>
      <c r="F100" s="433"/>
      <c r="G100" s="433"/>
      <c r="H100" s="433">
        <v>18109.073992494697</v>
      </c>
      <c r="I100" s="433">
        <v>20808.052661397964</v>
      </c>
    </row>
    <row r="101" spans="1:10" s="283" customFormat="1" ht="12.75">
      <c r="C101" s="285">
        <v>2012</v>
      </c>
      <c r="D101" s="433"/>
      <c r="E101" s="433"/>
      <c r="F101" s="433"/>
      <c r="G101" s="433">
        <v>14665.917419112113</v>
      </c>
      <c r="H101" s="433">
        <v>17616.518866399838</v>
      </c>
      <c r="I101" s="433">
        <v>19840.117668138937</v>
      </c>
    </row>
    <row r="102" spans="1:10" s="283" customFormat="1" ht="12.75">
      <c r="C102" s="285">
        <v>2013</v>
      </c>
      <c r="D102" s="433"/>
      <c r="E102" s="433"/>
      <c r="F102" s="433">
        <v>10962.938416290612</v>
      </c>
      <c r="G102" s="433">
        <v>14366.769971384005</v>
      </c>
      <c r="H102" s="433">
        <v>17053.296982705964</v>
      </c>
      <c r="I102" s="433">
        <v>18912.7350154335</v>
      </c>
    </row>
    <row r="103" spans="1:10" s="283" customFormat="1" ht="12.75">
      <c r="C103" s="285">
        <v>2014</v>
      </c>
      <c r="D103" s="433"/>
      <c r="E103" s="433">
        <v>6863.990477241985</v>
      </c>
      <c r="F103" s="433">
        <v>10990.998762038647</v>
      </c>
      <c r="G103" s="433">
        <v>14415.214148985648</v>
      </c>
      <c r="H103" s="433">
        <v>16863.830803564102</v>
      </c>
      <c r="I103" s="433"/>
    </row>
    <row r="104" spans="1:10" s="283" customFormat="1" ht="12.75">
      <c r="C104" s="285">
        <v>2015</v>
      </c>
      <c r="D104" s="433">
        <v>3235.4393319777946</v>
      </c>
      <c r="E104" s="433">
        <v>7274.4958499059985</v>
      </c>
      <c r="F104" s="433">
        <v>11350.366898462011</v>
      </c>
      <c r="G104" s="433">
        <v>14588.582774535544</v>
      </c>
      <c r="H104" s="433"/>
      <c r="I104" s="433"/>
    </row>
    <row r="105" spans="1:10" s="283" customFormat="1" ht="12.75">
      <c r="C105" s="285">
        <v>2016</v>
      </c>
      <c r="D105" s="433">
        <v>3466.3149201883939</v>
      </c>
      <c r="E105" s="433">
        <v>7497.6786738008805</v>
      </c>
      <c r="F105" s="433">
        <v>11329.961927266759</v>
      </c>
      <c r="G105" s="433"/>
      <c r="H105" s="433"/>
      <c r="I105" s="433"/>
    </row>
    <row r="106" spans="1:10" s="283" customFormat="1" ht="12.75">
      <c r="C106" s="285">
        <v>2017</v>
      </c>
      <c r="D106" s="433">
        <v>3573.0995986148264</v>
      </c>
      <c r="E106" s="433">
        <v>7725.6567228316171</v>
      </c>
      <c r="F106" s="433"/>
      <c r="G106" s="433"/>
      <c r="H106" s="433"/>
      <c r="I106" s="433"/>
    </row>
    <row r="107" spans="1:10" s="283" customFormat="1" ht="12.75">
      <c r="C107" s="285">
        <v>2018</v>
      </c>
      <c r="D107" s="433">
        <v>3679.0118293838827</v>
      </c>
      <c r="E107" s="433"/>
      <c r="F107" s="433"/>
      <c r="G107" s="433"/>
      <c r="H107" s="433"/>
      <c r="I107" s="433"/>
    </row>
    <row r="108" spans="1:10" s="283" customFormat="1" ht="12.75">
      <c r="E108" s="211"/>
      <c r="F108" s="211"/>
      <c r="G108" s="211"/>
      <c r="H108" s="211"/>
      <c r="I108" s="211"/>
    </row>
    <row r="109" spans="1:10" s="283" customFormat="1" ht="25.5" customHeight="1">
      <c r="A109" s="212" t="s">
        <v>22</v>
      </c>
      <c r="B109" s="556" t="s">
        <v>306</v>
      </c>
      <c r="C109" s="556"/>
      <c r="D109" s="556"/>
      <c r="E109" s="556"/>
      <c r="F109" s="556"/>
      <c r="G109" s="556"/>
      <c r="H109" s="556"/>
      <c r="I109" s="556"/>
      <c r="J109" s="279"/>
    </row>
    <row r="110" spans="1:10" s="283" customFormat="1" ht="52.5" customHeight="1">
      <c r="A110" s="212" t="s">
        <v>28</v>
      </c>
      <c r="B110" s="556" t="s">
        <v>307</v>
      </c>
      <c r="C110" s="556"/>
      <c r="D110" s="556"/>
      <c r="E110" s="556"/>
      <c r="F110" s="556"/>
      <c r="G110" s="556"/>
      <c r="H110" s="556"/>
      <c r="I110" s="556"/>
      <c r="J110" s="279"/>
    </row>
    <row r="111" spans="1:10" s="283" customFormat="1" ht="12.75"/>
    <row r="112" spans="1:10" s="283" customFormat="1" ht="12.75">
      <c r="B112" s="549" t="s">
        <v>326</v>
      </c>
      <c r="C112" s="549"/>
      <c r="D112" s="549"/>
      <c r="E112" s="549"/>
      <c r="F112" s="549"/>
      <c r="G112" s="549"/>
      <c r="H112" s="549"/>
      <c r="I112" s="549"/>
      <c r="J112" s="549"/>
    </row>
    <row r="113" spans="1:12">
      <c r="A113" s="326"/>
      <c r="B113" s="326"/>
      <c r="C113" s="146"/>
      <c r="D113" s="323"/>
      <c r="E113" s="323"/>
      <c r="F113" s="323"/>
      <c r="G113" s="323"/>
      <c r="H113" s="323"/>
      <c r="I113" s="326"/>
    </row>
    <row r="114" spans="1:12">
      <c r="A114" s="333"/>
      <c r="B114" s="328"/>
      <c r="C114" s="328"/>
      <c r="D114" s="328"/>
      <c r="E114" s="328"/>
      <c r="F114" s="328"/>
      <c r="G114" s="328"/>
      <c r="H114" s="328"/>
      <c r="I114" s="328"/>
    </row>
    <row r="115" spans="1:12" s="283" customFormat="1" ht="12.75">
      <c r="A115" s="547" t="s">
        <v>37</v>
      </c>
      <c r="B115" s="547"/>
      <c r="C115" s="547"/>
      <c r="D115" s="547"/>
      <c r="E115" s="547"/>
      <c r="F115" s="547"/>
      <c r="G115" s="547"/>
      <c r="H115" s="547"/>
      <c r="I115" s="547"/>
      <c r="J115" s="352"/>
      <c r="K115" s="281"/>
      <c r="L115" s="281"/>
    </row>
    <row r="116" spans="1:12" s="283" customFormat="1" ht="12.75">
      <c r="A116" s="547" t="s">
        <v>297</v>
      </c>
      <c r="B116" s="547"/>
      <c r="C116" s="547"/>
      <c r="D116" s="547"/>
      <c r="E116" s="547"/>
      <c r="F116" s="547"/>
      <c r="G116" s="547"/>
      <c r="H116" s="547"/>
      <c r="I116" s="547"/>
      <c r="J116" s="352"/>
      <c r="K116" s="281"/>
      <c r="L116" s="281"/>
    </row>
    <row r="117" spans="1:12" s="283" customFormat="1" ht="12.75">
      <c r="A117" s="547" t="s">
        <v>298</v>
      </c>
      <c r="B117" s="547"/>
      <c r="C117" s="547"/>
      <c r="D117" s="547"/>
      <c r="E117" s="547"/>
      <c r="F117" s="547"/>
      <c r="G117" s="547"/>
      <c r="H117" s="547"/>
      <c r="I117" s="547"/>
      <c r="J117" s="352"/>
      <c r="K117" s="281"/>
      <c r="L117" s="281"/>
    </row>
    <row r="118" spans="1:12" s="283" customFormat="1" ht="12.75">
      <c r="A118" s="281"/>
      <c r="B118" s="281"/>
      <c r="C118" s="281"/>
      <c r="D118" s="281"/>
      <c r="E118" s="281"/>
      <c r="F118" s="281"/>
      <c r="G118" s="281"/>
      <c r="H118" s="281"/>
      <c r="I118" s="281"/>
      <c r="J118" s="281"/>
      <c r="K118" s="281"/>
      <c r="L118" s="281"/>
    </row>
    <row r="119" spans="1:12" s="283" customFormat="1" ht="12.75"/>
    <row r="120" spans="1:12" s="283" customFormat="1" ht="12.75">
      <c r="A120" s="548" t="s">
        <v>361</v>
      </c>
      <c r="B120" s="548"/>
      <c r="C120" s="548"/>
      <c r="D120" s="548"/>
      <c r="E120" s="548"/>
      <c r="F120" s="548"/>
      <c r="G120" s="548"/>
      <c r="H120" s="548"/>
      <c r="I120" s="548"/>
    </row>
    <row r="121" spans="1:12" s="283" customFormat="1" ht="12.75"/>
    <row r="122" spans="1:12" s="283" customFormat="1" ht="12.75">
      <c r="C122" s="285" t="s">
        <v>218</v>
      </c>
      <c r="D122" s="546"/>
      <c r="E122" s="546"/>
      <c r="F122" s="546"/>
      <c r="G122" s="546"/>
      <c r="H122" s="546"/>
      <c r="I122" s="546"/>
    </row>
    <row r="123" spans="1:12" s="283" customFormat="1" ht="12.75">
      <c r="C123" s="38" t="s">
        <v>8</v>
      </c>
      <c r="D123" s="100">
        <v>15</v>
      </c>
      <c r="E123" s="100">
        <v>27</v>
      </c>
      <c r="F123" s="100">
        <v>39</v>
      </c>
      <c r="G123" s="100">
        <v>51</v>
      </c>
      <c r="H123" s="100">
        <v>63</v>
      </c>
      <c r="I123" s="100">
        <v>75</v>
      </c>
    </row>
    <row r="124" spans="1:12" s="283" customFormat="1" ht="4.5" customHeight="1"/>
    <row r="125" spans="1:12" s="283" customFormat="1" ht="12.75">
      <c r="C125" s="285">
        <v>2010</v>
      </c>
      <c r="D125" s="211"/>
      <c r="E125" s="211"/>
      <c r="F125" s="211"/>
      <c r="G125" s="211"/>
      <c r="H125" s="211"/>
      <c r="I125" s="433">
        <v>23842.832250907311</v>
      </c>
    </row>
    <row r="126" spans="1:12" s="283" customFormat="1" ht="12.75">
      <c r="C126" s="285">
        <v>2011</v>
      </c>
      <c r="D126" s="211"/>
      <c r="E126" s="211"/>
      <c r="F126" s="211"/>
      <c r="G126" s="211"/>
      <c r="H126" s="218">
        <f t="shared" ref="G126:H128" si="12">+IF(H85&lt;H47,INDEX(LOGEST(H100:H100,H47),2)*EXP((INDEX(LOGEST(H100:H100,H47),1)-1)*H85),INDEX(LOGEST(H100:I100,H47:I47),2)*EXP((INDEX(LOGEST(H100:I100,H47:I47),1)-1)*H85))</f>
        <v>20332.361906256148</v>
      </c>
      <c r="I126" s="433">
        <v>22274.978398170995</v>
      </c>
    </row>
    <row r="127" spans="1:12" s="283" customFormat="1" ht="12.75">
      <c r="C127" s="285">
        <v>2012</v>
      </c>
      <c r="D127" s="211"/>
      <c r="E127" s="211"/>
      <c r="F127" s="211"/>
      <c r="G127" s="218">
        <f t="shared" si="12"/>
        <v>16838.754428037271</v>
      </c>
      <c r="H127" s="218">
        <f t="shared" si="12"/>
        <v>18917.201149734068</v>
      </c>
      <c r="I127" s="433">
        <v>20491.826770171305</v>
      </c>
    </row>
    <row r="128" spans="1:12" s="283" customFormat="1" ht="12.75">
      <c r="C128" s="285">
        <v>2013</v>
      </c>
      <c r="D128" s="211"/>
      <c r="E128" s="211"/>
      <c r="F128" s="218">
        <f t="shared" ref="F128" si="13">+IF(F87&lt;F49,INDEX(LOGEST(F102:F102,F49),2)*EXP((INDEX(LOGEST(F102:F102,F49),1)-1)*F87),INDEX(LOGEST(F102:G102,F49:G49),2)*EXP((INDEX(LOGEST(F102:G102,F49:G49),1)-1)*F87))</f>
        <v>12863.934301343386</v>
      </c>
      <c r="G128" s="218">
        <f t="shared" si="12"/>
        <v>15676.766795636317</v>
      </c>
      <c r="H128" s="218">
        <f>+IF(H87&lt;H49,INDEX(LOGEST(H102:H102,H49),2)*EXP((INDEX(LOGEST(H102:H102,H49),1)-1)*H87),INDEX(LOGEST(H102:I102,H49:I49),2)*EXP((INDEX(LOGEST(H102:I102,H49:I49),1)-1)*H87))</f>
        <v>17522.526717429366</v>
      </c>
      <c r="I128" s="211">
        <f>I102</f>
        <v>18912.7350154335</v>
      </c>
    </row>
    <row r="129" spans="1:9" s="283" customFormat="1" ht="12.75">
      <c r="C129" s="285">
        <v>2014</v>
      </c>
      <c r="D129" s="211"/>
      <c r="E129" s="218">
        <f t="shared" ref="E129" si="14">+IF(E88&lt;E50,INDEX(LOGEST(E103:E103,E50),2)*EXP((INDEX(LOGEST(E103:E103,E50),1)-1)*E88),INDEX(LOGEST(E103:F103,E50:F50),2)*EXP((INDEX(LOGEST(E103:F103,E50:F50),1)-1)*E88))</f>
        <v>8462.5649862616665</v>
      </c>
      <c r="F129" s="218">
        <f t="shared" ref="F129" si="15">+IF(F88&lt;F50,INDEX(LOGEST(F103:F103,F50),2)*EXP((INDEX(LOGEST(F103:F103,F50),1)-1)*F88),INDEX(LOGEST(F103:G103,F50:G50),2)*EXP((INDEX(LOGEST(F103:G103,F50:G50),1)-1)*F88))</f>
        <v>12463.679421645946</v>
      </c>
      <c r="G129" s="218">
        <f>+IF(G88&lt;G50,INDEX(LOGEST(G103:G103,G50),2)*EXP((INDEX(LOGEST(G103:G103,G50),1)-1)*G88),INDEX(LOGEST(G103:H103,G50:H50),2)*EXP((INDEX(LOGEST(G103:H103,G50:H50),1)-1)*G88))</f>
        <v>15142.199794119662</v>
      </c>
      <c r="H129" s="211">
        <f>H103</f>
        <v>16863.830803564102</v>
      </c>
      <c r="I129" s="211"/>
    </row>
    <row r="130" spans="1:9" s="283" customFormat="1" ht="12.75">
      <c r="C130" s="285">
        <v>2015</v>
      </c>
      <c r="D130" s="218">
        <f t="shared" ref="D130" si="16">+IF(D89&lt;D51,INDEX(LOGEST(D104:D104,D51),2)*EXP((INDEX(LOGEST(D104:D104,D51),1)-1)*D89),INDEX(LOGEST(D104:E104,D51:E51),2)*EXP((INDEX(LOGEST(D104:E104,D51:E51),1)-1)*D89))</f>
        <v>3777.3243316206149</v>
      </c>
      <c r="E130" s="218">
        <f t="shared" ref="E130" si="17">+IF(E89&lt;E51,INDEX(LOGEST(E104:E104,E51),2)*EXP((INDEX(LOGEST(E104:E104,E51),1)-1)*E89),INDEX(LOGEST(E104:F104,E51:F51),2)*EXP((INDEX(LOGEST(E104:F104,E51:F51),1)-1)*E89))</f>
        <v>8350.4508411800252</v>
      </c>
      <c r="F130" s="218">
        <f>+IF(F89&lt;F51,INDEX(LOGEST(F104:F104,F51),2)*EXP((INDEX(LOGEST(F104:F104,F51),1)-1)*F89),INDEX(LOGEST(F104:G104,F51:G51),2)*EXP((INDEX(LOGEST(F104:G104,F51:G51),1)-1)*F89))</f>
        <v>12044.150285756261</v>
      </c>
      <c r="G130" s="211">
        <f>G104</f>
        <v>14588.582774535544</v>
      </c>
      <c r="H130" s="211"/>
      <c r="I130" s="211"/>
    </row>
    <row r="131" spans="1:9" s="283" customFormat="1" ht="12.75">
      <c r="C131" s="285">
        <v>2016</v>
      </c>
      <c r="D131" s="218">
        <f t="shared" ref="D131" si="18">+IF(D90&lt;D52,INDEX(LOGEST(D105:D105,D52),2)*EXP((INDEX(LOGEST(D105:D105,D52),1)-1)*D90),INDEX(LOGEST(D105:E105,D52:E52),2)*EXP((INDEX(LOGEST(D105:E105,D52:E52),1)-1)*D90))</f>
        <v>3816.946950702611</v>
      </c>
      <c r="E131" s="218">
        <f>+IF(E90&lt;E52,INDEX(LOGEST(E105:E105,E52),2)*EXP((INDEX(LOGEST(E105:E105,E52),1)-1)*E90),INDEX(LOGEST(E105:F105,E52:F52),2)*EXP((INDEX(LOGEST(E105:F105,E52:F52),1)-1)*E90))</f>
        <v>8021.3491206146273</v>
      </c>
      <c r="F131" s="211">
        <f>F105</f>
        <v>11329.961927266759</v>
      </c>
      <c r="G131" s="211"/>
      <c r="H131" s="211"/>
      <c r="I131" s="211"/>
    </row>
    <row r="132" spans="1:9" s="283" customFormat="1" ht="12.75">
      <c r="C132" s="285">
        <v>2017</v>
      </c>
      <c r="D132" s="218">
        <f>+IF(D91&lt;D53,INDEX(LOGEST(D106:D106,D53),2)*EXP((INDEX(LOGEST(D106:D106,D53),1)-1)*D91),INDEX(LOGEST(D106:E106,D53:E53),2)*EXP((INDEX(LOGEST(D106:E106,D53:E53),1)-1)*D91))</f>
        <v>3645.0070966734825</v>
      </c>
      <c r="E132" s="211">
        <f>E106</f>
        <v>7725.6567228316171</v>
      </c>
      <c r="F132" s="211"/>
      <c r="G132" s="211"/>
      <c r="H132" s="211"/>
      <c r="I132" s="211"/>
    </row>
    <row r="133" spans="1:9" s="283" customFormat="1" ht="12.75">
      <c r="C133" s="285">
        <v>2018</v>
      </c>
      <c r="D133" s="211">
        <f>D107</f>
        <v>3679.0118293838827</v>
      </c>
      <c r="E133" s="211"/>
      <c r="F133" s="211"/>
      <c r="G133" s="211"/>
      <c r="H133" s="211"/>
      <c r="I133" s="211"/>
    </row>
    <row r="134" spans="1:9" s="283" customFormat="1" ht="12.75">
      <c r="E134" s="211"/>
      <c r="F134" s="211"/>
      <c r="G134" s="211"/>
      <c r="H134" s="211"/>
      <c r="I134" s="211"/>
    </row>
    <row r="135" spans="1:9" s="283" customFormat="1" ht="12.75">
      <c r="A135" s="548" t="s">
        <v>362</v>
      </c>
      <c r="B135" s="548"/>
      <c r="C135" s="548"/>
      <c r="D135" s="548"/>
      <c r="E135" s="548"/>
      <c r="F135" s="548"/>
      <c r="G135" s="548"/>
      <c r="H135" s="548"/>
      <c r="I135" s="548"/>
    </row>
    <row r="136" spans="1:9" s="283" customFormat="1" ht="12.75"/>
    <row r="137" spans="1:9" s="283" customFormat="1" ht="12.75">
      <c r="C137" s="285" t="s">
        <v>218</v>
      </c>
      <c r="D137" s="546"/>
      <c r="E137" s="546"/>
      <c r="F137" s="546"/>
      <c r="G137" s="546"/>
      <c r="H137" s="546"/>
      <c r="I137" s="546"/>
    </row>
    <row r="138" spans="1:9" s="283" customFormat="1" ht="12.75">
      <c r="C138" s="38" t="s">
        <v>8</v>
      </c>
      <c r="D138" s="100">
        <v>15</v>
      </c>
      <c r="E138" s="100">
        <v>27</v>
      </c>
      <c r="F138" s="100">
        <v>39</v>
      </c>
      <c r="G138" s="100">
        <v>51</v>
      </c>
      <c r="H138" s="100">
        <v>63</v>
      </c>
      <c r="I138" s="100">
        <v>75</v>
      </c>
    </row>
    <row r="139" spans="1:9" s="283" customFormat="1" ht="4.5" customHeight="1"/>
    <row r="140" spans="1:9" s="283" customFormat="1" ht="12.75">
      <c r="C140" s="285">
        <v>2010</v>
      </c>
      <c r="D140" s="211"/>
      <c r="E140" s="211"/>
      <c r="F140" s="211"/>
      <c r="G140" s="211"/>
      <c r="H140" s="211"/>
      <c r="I140" s="211">
        <f t="shared" ref="I140" si="19">I125*I84/1000</f>
        <v>2540739.4677066808</v>
      </c>
    </row>
    <row r="141" spans="1:9" s="283" customFormat="1" ht="12.75">
      <c r="C141" s="285">
        <v>2011</v>
      </c>
      <c r="D141" s="211"/>
      <c r="E141" s="211"/>
      <c r="F141" s="211"/>
      <c r="G141" s="211"/>
      <c r="H141" s="211">
        <f t="shared" ref="H141:I141" si="20">H126*H85/1000</f>
        <v>2096772.5378853511</v>
      </c>
      <c r="I141" s="211">
        <f t="shared" si="20"/>
        <v>2388021.3598351497</v>
      </c>
    </row>
    <row r="142" spans="1:9" s="283" customFormat="1" ht="12.75">
      <c r="C142" s="285">
        <v>2012</v>
      </c>
      <c r="D142" s="211"/>
      <c r="E142" s="211"/>
      <c r="F142" s="211"/>
      <c r="G142" s="211">
        <f t="shared" ref="G142:I142" si="21">G127*G86/1000</f>
        <v>1731801.3704157243</v>
      </c>
      <c r="H142" s="211">
        <f t="shared" si="21"/>
        <v>2062740.9784473598</v>
      </c>
      <c r="I142" s="211">
        <f t="shared" si="21"/>
        <v>2322875.4145616661</v>
      </c>
    </row>
    <row r="143" spans="1:9" s="283" customFormat="1" ht="12.75">
      <c r="C143" s="285">
        <v>2013</v>
      </c>
      <c r="D143" s="211"/>
      <c r="E143" s="211"/>
      <c r="F143" s="211">
        <f t="shared" ref="F143:H145" si="22">F128*F87/1000</f>
        <v>1263126.7109808875</v>
      </c>
      <c r="G143" s="211">
        <f t="shared" si="22"/>
        <v>1718753.8442655853</v>
      </c>
      <c r="H143" s="211">
        <f t="shared" si="22"/>
        <v>2036824.5195217673</v>
      </c>
      <c r="I143" s="211">
        <f>I128*I87/1000</f>
        <v>2285433.8119999995</v>
      </c>
    </row>
    <row r="144" spans="1:9" s="283" customFormat="1" ht="12.75">
      <c r="C144" s="285">
        <v>2014</v>
      </c>
      <c r="D144" s="211"/>
      <c r="E144" s="211">
        <f t="shared" ref="D144:E147" si="23">E129*E88/1000</f>
        <v>699204.10342777206</v>
      </c>
      <c r="F144" s="211">
        <f t="shared" si="22"/>
        <v>1283222.790512972</v>
      </c>
      <c r="G144" s="211">
        <f t="shared" si="22"/>
        <v>1740719.7040115544</v>
      </c>
      <c r="H144" s="211">
        <f>H129*H88/1000</f>
        <v>2055397.426</v>
      </c>
      <c r="I144" s="211"/>
    </row>
    <row r="145" spans="1:11" s="283" customFormat="1" ht="12.75">
      <c r="C145" s="285">
        <v>2015</v>
      </c>
      <c r="D145" s="211">
        <f t="shared" si="23"/>
        <v>190184.21237529276</v>
      </c>
      <c r="E145" s="211">
        <f t="shared" si="23"/>
        <v>717811.55349969049</v>
      </c>
      <c r="F145" s="211">
        <f t="shared" si="22"/>
        <v>1290121.2512811122</v>
      </c>
      <c r="G145" s="211">
        <f>G130*G89/1000</f>
        <v>1744823.6769999999</v>
      </c>
      <c r="H145" s="211"/>
      <c r="I145" s="211"/>
    </row>
    <row r="146" spans="1:11" s="283" customFormat="1" ht="12.75">
      <c r="C146" s="285">
        <v>2016</v>
      </c>
      <c r="D146" s="211">
        <f t="shared" si="23"/>
        <v>196646.52476391837</v>
      </c>
      <c r="E146" s="211">
        <f t="shared" si="23"/>
        <v>705550.17684620922</v>
      </c>
      <c r="F146" s="211">
        <f>F131*F90/1000</f>
        <v>1241831.8070000003</v>
      </c>
      <c r="G146" s="211"/>
      <c r="H146" s="211"/>
      <c r="I146" s="211"/>
    </row>
    <row r="147" spans="1:11" s="283" customFormat="1" ht="12.75">
      <c r="C147" s="285">
        <v>2017</v>
      </c>
      <c r="D147" s="211">
        <f t="shared" si="23"/>
        <v>188793.77431547749</v>
      </c>
      <c r="E147" s="211">
        <f>E132*E91/1000</f>
        <v>683179.82399999991</v>
      </c>
      <c r="F147" s="211"/>
      <c r="G147" s="211"/>
      <c r="H147" s="211"/>
      <c r="I147" s="211"/>
    </row>
    <row r="148" spans="1:11" s="283" customFormat="1" ht="12.75">
      <c r="C148" s="285">
        <v>2018</v>
      </c>
      <c r="D148" s="211">
        <f>D133*D92/1000</f>
        <v>194067.87399999981</v>
      </c>
      <c r="E148" s="211"/>
      <c r="F148" s="211"/>
      <c r="G148" s="211"/>
      <c r="H148" s="211"/>
      <c r="I148" s="211"/>
    </row>
    <row r="149" spans="1:11" s="283" customFormat="1" ht="12.75">
      <c r="C149" s="285"/>
      <c r="E149" s="211"/>
      <c r="F149" s="211"/>
      <c r="G149" s="211"/>
      <c r="H149" s="211"/>
      <c r="I149" s="211"/>
    </row>
    <row r="150" spans="1:11" s="283" customFormat="1" ht="12.75">
      <c r="A150" s="548" t="s">
        <v>324</v>
      </c>
      <c r="B150" s="548"/>
      <c r="C150" s="548"/>
      <c r="D150" s="548"/>
      <c r="E150" s="548"/>
      <c r="F150" s="548"/>
      <c r="G150" s="548"/>
      <c r="H150" s="548"/>
      <c r="I150" s="548"/>
      <c r="J150" s="281"/>
      <c r="K150" s="281"/>
    </row>
    <row r="151" spans="1:11" s="283" customFormat="1" ht="12.75">
      <c r="J151" s="281"/>
      <c r="K151" s="281"/>
    </row>
    <row r="152" spans="1:11" s="283" customFormat="1" ht="12.75">
      <c r="C152" s="285" t="s">
        <v>218</v>
      </c>
      <c r="D152" s="546"/>
      <c r="E152" s="546"/>
      <c r="F152" s="546"/>
      <c r="G152" s="546"/>
      <c r="H152" s="546"/>
      <c r="I152" s="546"/>
      <c r="J152" s="281"/>
      <c r="K152" s="281"/>
    </row>
    <row r="153" spans="1:11" s="283" customFormat="1" ht="12.75">
      <c r="C153" s="38" t="s">
        <v>8</v>
      </c>
      <c r="D153" s="427">
        <v>15</v>
      </c>
      <c r="E153" s="427">
        <v>27</v>
      </c>
      <c r="F153" s="427">
        <v>39</v>
      </c>
      <c r="G153" s="427">
        <v>51</v>
      </c>
      <c r="H153" s="427">
        <v>63</v>
      </c>
      <c r="I153" s="427">
        <v>75</v>
      </c>
      <c r="J153" s="281"/>
      <c r="K153" s="281"/>
    </row>
    <row r="154" spans="1:11" s="283" customFormat="1" ht="4.5" customHeight="1">
      <c r="D154" s="409"/>
      <c r="E154" s="409"/>
      <c r="F154" s="409"/>
      <c r="G154" s="409"/>
      <c r="H154" s="409"/>
      <c r="I154" s="409"/>
    </row>
    <row r="155" spans="1:11" s="283" customFormat="1" ht="12.75">
      <c r="C155" s="285">
        <v>2010</v>
      </c>
      <c r="D155" s="433"/>
      <c r="E155" s="433"/>
      <c r="F155" s="433"/>
      <c r="G155" s="433"/>
      <c r="H155" s="433"/>
      <c r="I155" s="433">
        <v>886076.37500000047</v>
      </c>
      <c r="J155" s="281"/>
      <c r="K155" s="281"/>
    </row>
    <row r="156" spans="1:11" s="283" customFormat="1" ht="12.75">
      <c r="C156" s="285">
        <v>2011</v>
      </c>
      <c r="D156" s="433"/>
      <c r="E156" s="433"/>
      <c r="F156" s="433"/>
      <c r="G156" s="433"/>
      <c r="H156" s="433">
        <v>888395.20499999996</v>
      </c>
      <c r="I156" s="433">
        <v>736679.08900000004</v>
      </c>
      <c r="J156" s="281"/>
      <c r="K156" s="281"/>
    </row>
    <row r="157" spans="1:11" s="283" customFormat="1" ht="12.75">
      <c r="C157" s="285">
        <v>2012</v>
      </c>
      <c r="D157" s="433"/>
      <c r="E157" s="433"/>
      <c r="F157" s="433"/>
      <c r="G157" s="433">
        <v>935110.39700000023</v>
      </c>
      <c r="H157" s="433">
        <v>801111.06200000027</v>
      </c>
      <c r="I157" s="433">
        <v>651898.35699999996</v>
      </c>
      <c r="J157" s="281"/>
      <c r="K157" s="281"/>
    </row>
    <row r="158" spans="1:11" s="283" customFormat="1" ht="12.75">
      <c r="C158" s="285">
        <v>2013</v>
      </c>
      <c r="D158" s="433"/>
      <c r="E158" s="433"/>
      <c r="F158" s="433">
        <v>957129.00299999933</v>
      </c>
      <c r="G158" s="433">
        <v>864164.64099999925</v>
      </c>
      <c r="H158" s="433">
        <v>688925.62600000005</v>
      </c>
      <c r="I158" s="433">
        <v>549257.84499999997</v>
      </c>
      <c r="J158" s="281"/>
      <c r="K158" s="281"/>
    </row>
    <row r="159" spans="1:11" s="283" customFormat="1" ht="12.75">
      <c r="C159" s="285">
        <v>2014</v>
      </c>
      <c r="D159" s="433"/>
      <c r="E159" s="433">
        <v>877103.10800000012</v>
      </c>
      <c r="F159" s="433">
        <v>934369.15200000012</v>
      </c>
      <c r="G159" s="433">
        <v>793707.39700000023</v>
      </c>
      <c r="H159" s="433">
        <v>624163.174</v>
      </c>
      <c r="I159" s="433"/>
      <c r="J159" s="281"/>
      <c r="K159" s="281"/>
    </row>
    <row r="160" spans="1:11" s="283" customFormat="1" ht="12.75">
      <c r="C160" s="285">
        <v>2015</v>
      </c>
      <c r="D160" s="433">
        <v>522944.94100000011</v>
      </c>
      <c r="E160" s="433">
        <v>888275.97300000023</v>
      </c>
      <c r="F160" s="433">
        <v>885786.652</v>
      </c>
      <c r="G160" s="433">
        <v>734081.38</v>
      </c>
      <c r="H160" s="433"/>
      <c r="I160" s="433"/>
      <c r="J160" s="281"/>
      <c r="K160" s="281"/>
    </row>
    <row r="161" spans="1:16" s="283" customFormat="1" ht="12.75">
      <c r="C161" s="285">
        <v>2016</v>
      </c>
      <c r="D161" s="433">
        <v>554120.89799999993</v>
      </c>
      <c r="E161" s="433">
        <v>866797.04799999972</v>
      </c>
      <c r="F161" s="433">
        <v>838008.27399999998</v>
      </c>
      <c r="G161" s="433"/>
      <c r="H161" s="433"/>
      <c r="I161" s="433"/>
      <c r="J161" s="281"/>
      <c r="K161" s="281"/>
    </row>
    <row r="162" spans="1:16" s="283" customFormat="1" ht="12.75">
      <c r="C162" s="285">
        <v>2017</v>
      </c>
      <c r="D162" s="433">
        <v>569815.20900000003</v>
      </c>
      <c r="E162" s="433">
        <v>857408.799</v>
      </c>
      <c r="F162" s="433"/>
      <c r="G162" s="433"/>
      <c r="H162" s="433"/>
      <c r="I162" s="433"/>
      <c r="J162" s="281"/>
      <c r="K162" s="281"/>
    </row>
    <row r="163" spans="1:16" s="283" customFormat="1" ht="12.75">
      <c r="C163" s="285">
        <v>2018</v>
      </c>
      <c r="D163" s="433">
        <v>598127.75600000005</v>
      </c>
      <c r="E163" s="433"/>
      <c r="F163" s="433"/>
      <c r="G163" s="433"/>
      <c r="H163" s="433"/>
      <c r="I163" s="433"/>
      <c r="J163" s="281"/>
      <c r="K163" s="281"/>
    </row>
    <row r="164" spans="1:16" s="283" customFormat="1" ht="12.75">
      <c r="C164" s="285"/>
      <c r="E164" s="211"/>
      <c r="F164" s="211"/>
      <c r="G164" s="211"/>
      <c r="H164" s="211"/>
      <c r="I164" s="211"/>
    </row>
    <row r="165" spans="1:16" s="283" customFormat="1" ht="24.75" customHeight="1">
      <c r="A165" s="212" t="s">
        <v>40</v>
      </c>
      <c r="B165" s="556" t="s">
        <v>309</v>
      </c>
      <c r="C165" s="556"/>
      <c r="D165" s="556"/>
      <c r="E165" s="556"/>
      <c r="F165" s="556"/>
      <c r="G165" s="556"/>
      <c r="H165" s="556"/>
      <c r="I165" s="556"/>
      <c r="J165" s="279"/>
    </row>
    <row r="166" spans="1:16" s="283" customFormat="1" ht="26.25" customHeight="1">
      <c r="A166" s="212" t="s">
        <v>66</v>
      </c>
      <c r="B166" s="556" t="s">
        <v>325</v>
      </c>
      <c r="C166" s="556"/>
      <c r="D166" s="556"/>
      <c r="E166" s="556"/>
      <c r="F166" s="556"/>
      <c r="G166" s="556"/>
      <c r="H166" s="556"/>
      <c r="I166" s="556"/>
      <c r="J166" s="279"/>
    </row>
    <row r="167" spans="1:16" s="283" customFormat="1" ht="12.75">
      <c r="B167" s="549"/>
      <c r="C167" s="549"/>
      <c r="D167" s="549"/>
      <c r="E167" s="549"/>
      <c r="F167" s="549"/>
      <c r="G167" s="549"/>
      <c r="H167" s="549"/>
      <c r="I167" s="549"/>
    </row>
    <row r="168" spans="1:16" s="283" customFormat="1" ht="12.75">
      <c r="B168" s="549" t="s">
        <v>326</v>
      </c>
      <c r="C168" s="549"/>
      <c r="D168" s="549"/>
      <c r="E168" s="549"/>
      <c r="F168" s="549"/>
      <c r="G168" s="549"/>
      <c r="H168" s="549"/>
      <c r="I168" s="549"/>
    </row>
    <row r="169" spans="1:16">
      <c r="A169" s="326"/>
      <c r="B169" s="326"/>
      <c r="C169" s="146"/>
      <c r="D169" s="325"/>
      <c r="E169" s="325"/>
      <c r="F169" s="218"/>
      <c r="G169" s="218"/>
      <c r="H169" s="218"/>
      <c r="I169" s="326"/>
      <c r="M169" s="334"/>
      <c r="N169" s="334"/>
      <c r="O169" s="334"/>
      <c r="P169" s="334"/>
    </row>
    <row r="170" spans="1:16">
      <c r="A170" s="326"/>
      <c r="B170" s="326"/>
      <c r="C170" s="146"/>
      <c r="D170" s="325"/>
      <c r="E170" s="218"/>
      <c r="F170" s="218"/>
      <c r="G170" s="218"/>
      <c r="H170" s="218"/>
      <c r="I170" s="326"/>
      <c r="L170" s="334"/>
      <c r="M170" s="334"/>
      <c r="N170" s="334"/>
      <c r="O170" s="334"/>
    </row>
    <row r="171" spans="1:16" s="283" customFormat="1" ht="12.75">
      <c r="A171" s="547" t="s">
        <v>37</v>
      </c>
      <c r="B171" s="547"/>
      <c r="C171" s="547"/>
      <c r="D171" s="547"/>
      <c r="E171" s="547"/>
      <c r="F171" s="547"/>
      <c r="G171" s="547"/>
      <c r="H171" s="547"/>
      <c r="I171" s="547"/>
      <c r="J171" s="352"/>
      <c r="K171" s="281"/>
    </row>
    <row r="172" spans="1:16" s="283" customFormat="1" ht="12.75">
      <c r="A172" s="547" t="s">
        <v>297</v>
      </c>
      <c r="B172" s="547"/>
      <c r="C172" s="547"/>
      <c r="D172" s="547"/>
      <c r="E172" s="547"/>
      <c r="F172" s="547"/>
      <c r="G172" s="547"/>
      <c r="H172" s="547"/>
      <c r="I172" s="547"/>
      <c r="J172" s="352"/>
      <c r="K172" s="281"/>
    </row>
    <row r="173" spans="1:16" s="283" customFormat="1" ht="12.75">
      <c r="A173" s="547" t="s">
        <v>298</v>
      </c>
      <c r="B173" s="547"/>
      <c r="C173" s="547"/>
      <c r="D173" s="547"/>
      <c r="E173" s="547"/>
      <c r="F173" s="547"/>
      <c r="G173" s="547"/>
      <c r="H173" s="547"/>
      <c r="I173" s="547"/>
      <c r="J173" s="352"/>
      <c r="K173" s="281"/>
    </row>
    <row r="174" spans="1:16" s="283" customFormat="1" ht="12.75">
      <c r="A174" s="281"/>
      <c r="B174" s="281"/>
      <c r="C174" s="281"/>
      <c r="D174" s="281"/>
      <c r="E174" s="281"/>
      <c r="F174" s="281"/>
      <c r="G174" s="281"/>
      <c r="H174" s="281"/>
      <c r="I174" s="281"/>
      <c r="J174" s="281"/>
      <c r="K174" s="281"/>
    </row>
    <row r="175" spans="1:16" s="283" customFormat="1" ht="12.75">
      <c r="A175" s="281"/>
      <c r="B175" s="281"/>
      <c r="C175" s="281"/>
      <c r="D175" s="281"/>
      <c r="E175" s="281"/>
      <c r="F175" s="281"/>
      <c r="G175" s="281"/>
      <c r="H175" s="281"/>
      <c r="I175" s="281"/>
      <c r="J175" s="281"/>
      <c r="K175" s="281"/>
    </row>
    <row r="176" spans="1:16" s="283" customFormat="1" ht="12.75">
      <c r="A176" s="548" t="s">
        <v>363</v>
      </c>
      <c r="B176" s="548"/>
      <c r="C176" s="548"/>
      <c r="D176" s="548"/>
      <c r="E176" s="548"/>
      <c r="F176" s="548"/>
      <c r="G176" s="548"/>
      <c r="H176" s="548"/>
      <c r="I176" s="548"/>
      <c r="J176" s="548"/>
    </row>
    <row r="177" spans="1:10" s="283" customFormat="1" ht="12.75"/>
    <row r="178" spans="1:10" s="283" customFormat="1" ht="12.75">
      <c r="C178" s="285" t="s">
        <v>218</v>
      </c>
      <c r="D178" s="546"/>
      <c r="E178" s="546"/>
      <c r="F178" s="546"/>
      <c r="G178" s="546"/>
      <c r="H178" s="546"/>
      <c r="I178" s="546"/>
    </row>
    <row r="179" spans="1:10" s="283" customFormat="1" ht="12.75">
      <c r="C179" s="38" t="s">
        <v>8</v>
      </c>
      <c r="D179" s="427">
        <v>15</v>
      </c>
      <c r="E179" s="427">
        <v>27</v>
      </c>
      <c r="F179" s="427">
        <v>39</v>
      </c>
      <c r="G179" s="427">
        <v>51</v>
      </c>
      <c r="H179" s="427">
        <v>63</v>
      </c>
      <c r="I179" s="427">
        <v>75</v>
      </c>
    </row>
    <row r="180" spans="1:10" s="283" customFormat="1" ht="4.5" customHeight="1">
      <c r="D180" s="409"/>
      <c r="E180" s="409"/>
      <c r="F180" s="409"/>
      <c r="G180" s="409"/>
      <c r="H180" s="409"/>
      <c r="I180" s="409"/>
    </row>
    <row r="181" spans="1:10" s="283" customFormat="1" ht="12.75">
      <c r="C181" s="285">
        <v>2010</v>
      </c>
      <c r="D181" s="428"/>
      <c r="E181" s="428"/>
      <c r="F181" s="428"/>
      <c r="G181" s="428"/>
      <c r="H181" s="428"/>
      <c r="I181" s="428">
        <v>59028.470788088882</v>
      </c>
    </row>
    <row r="182" spans="1:10" s="283" customFormat="1" ht="12.75">
      <c r="C182" s="285">
        <v>2011</v>
      </c>
      <c r="D182" s="428"/>
      <c r="E182" s="428"/>
      <c r="F182" s="428"/>
      <c r="G182" s="428"/>
      <c r="H182" s="428">
        <v>44975.204019642581</v>
      </c>
      <c r="I182" s="428">
        <v>52914.745654360013</v>
      </c>
    </row>
    <row r="183" spans="1:10" s="283" customFormat="1" ht="12.75">
      <c r="C183" s="285">
        <v>2012</v>
      </c>
      <c r="D183" s="428"/>
      <c r="E183" s="428"/>
      <c r="F183" s="428"/>
      <c r="G183" s="428">
        <v>33042.770212014177</v>
      </c>
      <c r="H183" s="428">
        <v>41366.883300630041</v>
      </c>
      <c r="I183" s="428">
        <v>49255.637098602245</v>
      </c>
    </row>
    <row r="184" spans="1:10" s="283" customFormat="1" ht="12.75">
      <c r="C184" s="285">
        <v>2013</v>
      </c>
      <c r="D184" s="428"/>
      <c r="E184" s="428"/>
      <c r="F184" s="428">
        <v>22618.607689762714</v>
      </c>
      <c r="G184" s="428">
        <v>30990.304500627539</v>
      </c>
      <c r="H184" s="428">
        <v>37625.648607318377</v>
      </c>
      <c r="I184" s="428">
        <v>44811.768377253822</v>
      </c>
    </row>
    <row r="185" spans="1:10" s="283" customFormat="1" ht="12.75">
      <c r="C185" s="285">
        <v>2014</v>
      </c>
      <c r="D185" s="428"/>
      <c r="E185" s="428">
        <v>13985.093483425549</v>
      </c>
      <c r="F185" s="428">
        <v>22005.867922750826</v>
      </c>
      <c r="G185" s="428">
        <v>29309.726624815372</v>
      </c>
      <c r="H185" s="428">
        <v>35697.064569631111</v>
      </c>
      <c r="I185" s="428"/>
    </row>
    <row r="186" spans="1:10" s="283" customFormat="1" ht="12.75">
      <c r="C186" s="285">
        <v>2015</v>
      </c>
      <c r="D186" s="428">
        <v>6155.0450907464538</v>
      </c>
      <c r="E186" s="428">
        <v>14020.613574303534</v>
      </c>
      <c r="F186" s="428">
        <v>21839.459848615603</v>
      </c>
      <c r="G186" s="428">
        <v>29500.135830252373</v>
      </c>
      <c r="H186" s="428"/>
      <c r="I186" s="428"/>
    </row>
    <row r="187" spans="1:10" s="283" customFormat="1" ht="12.75">
      <c r="C187" s="285">
        <v>2016</v>
      </c>
      <c r="D187" s="428">
        <v>6577.2587835913009</v>
      </c>
      <c r="E187" s="428">
        <v>14293.67514264041</v>
      </c>
      <c r="F187" s="428">
        <v>22318.319857249386</v>
      </c>
      <c r="G187" s="428"/>
      <c r="H187" s="428"/>
      <c r="I187" s="428"/>
    </row>
    <row r="188" spans="1:10" s="283" customFormat="1" ht="12.75">
      <c r="C188" s="285">
        <v>2017</v>
      </c>
      <c r="D188" s="428">
        <v>6901.3299542184432</v>
      </c>
      <c r="E188" s="428">
        <v>15118.382011179096</v>
      </c>
      <c r="F188" s="428"/>
      <c r="G188" s="428"/>
      <c r="H188" s="428"/>
      <c r="I188" s="428"/>
    </row>
    <row r="189" spans="1:10" s="283" customFormat="1" ht="12.75">
      <c r="C189" s="285">
        <v>2018</v>
      </c>
      <c r="D189" s="428">
        <v>7197.7732102672717</v>
      </c>
      <c r="E189" s="428"/>
      <c r="F189" s="428"/>
      <c r="G189" s="428"/>
      <c r="H189" s="428"/>
      <c r="I189" s="428"/>
    </row>
    <row r="190" spans="1:10" s="283" customFormat="1" ht="12.75">
      <c r="E190" s="96"/>
      <c r="F190" s="96"/>
      <c r="G190" s="96"/>
      <c r="H190" s="96"/>
      <c r="I190" s="96"/>
    </row>
    <row r="191" spans="1:10" s="283" customFormat="1" ht="12.75">
      <c r="A191" s="548" t="s">
        <v>327</v>
      </c>
      <c r="B191" s="548"/>
      <c r="C191" s="548"/>
      <c r="D191" s="548"/>
      <c r="E191" s="548"/>
      <c r="F191" s="548"/>
      <c r="G191" s="548"/>
      <c r="H191" s="548"/>
      <c r="I191" s="548"/>
      <c r="J191" s="548"/>
    </row>
    <row r="192" spans="1:10" s="283" customFormat="1" ht="12.75">
      <c r="A192" s="549" t="s">
        <v>364</v>
      </c>
      <c r="B192" s="548"/>
      <c r="C192" s="548"/>
      <c r="D192" s="548"/>
      <c r="E192" s="548"/>
      <c r="F192" s="548"/>
      <c r="G192" s="548"/>
      <c r="H192" s="548"/>
      <c r="I192" s="548"/>
      <c r="J192" s="548"/>
    </row>
    <row r="193" spans="1:9" s="283" customFormat="1" ht="12.75"/>
    <row r="194" spans="1:9" s="283" customFormat="1" ht="12.75">
      <c r="C194" s="285" t="s">
        <v>218</v>
      </c>
      <c r="D194" s="546"/>
      <c r="E194" s="546"/>
      <c r="F194" s="546"/>
      <c r="G194" s="546"/>
      <c r="H194" s="546"/>
      <c r="I194" s="546"/>
    </row>
    <row r="195" spans="1:9" s="283" customFormat="1" ht="12.75">
      <c r="C195" s="38" t="s">
        <v>8</v>
      </c>
      <c r="D195" s="100">
        <v>15</v>
      </c>
      <c r="E195" s="100">
        <v>27</v>
      </c>
      <c r="F195" s="100">
        <v>39</v>
      </c>
      <c r="G195" s="100">
        <v>51</v>
      </c>
      <c r="H195" s="100">
        <v>63</v>
      </c>
      <c r="I195" s="100">
        <v>75</v>
      </c>
    </row>
    <row r="196" spans="1:9" s="283" customFormat="1" ht="4.5" customHeight="1"/>
    <row r="197" spans="1:9" s="283" customFormat="1" ht="12.75">
      <c r="C197" s="285">
        <v>2010</v>
      </c>
      <c r="D197" s="96"/>
      <c r="E197" s="96"/>
      <c r="F197" s="96"/>
      <c r="G197" s="96"/>
      <c r="H197" s="96"/>
      <c r="I197" s="96">
        <f t="shared" ref="D197:I203" si="24">I181*R84/1000</f>
        <v>-254589.79450902736</v>
      </c>
    </row>
    <row r="198" spans="1:9" s="283" customFormat="1" ht="12.75">
      <c r="C198" s="285">
        <v>2011</v>
      </c>
      <c r="D198" s="96"/>
      <c r="E198" s="96"/>
      <c r="F198" s="96"/>
      <c r="G198" s="96"/>
      <c r="H198" s="96">
        <f t="shared" si="24"/>
        <v>-227619.50754341111</v>
      </c>
      <c r="I198" s="96">
        <f t="shared" si="24"/>
        <v>-162395.35441323087</v>
      </c>
    </row>
    <row r="199" spans="1:9" s="283" customFormat="1" ht="12.75">
      <c r="C199" s="285">
        <v>2012</v>
      </c>
      <c r="D199" s="96"/>
      <c r="E199" s="96"/>
      <c r="F199" s="96"/>
      <c r="G199" s="96">
        <f t="shared" si="24"/>
        <v>-236520.14917759746</v>
      </c>
      <c r="H199" s="96">
        <f t="shared" si="24"/>
        <v>-159386.60135732754</v>
      </c>
      <c r="I199" s="96">
        <f>I183*R86/1000</f>
        <v>-85557.041640272102</v>
      </c>
    </row>
    <row r="200" spans="1:9" s="283" customFormat="1" ht="12.75">
      <c r="C200" s="285">
        <v>2013</v>
      </c>
      <c r="D200" s="96"/>
      <c r="E200" s="96"/>
      <c r="F200" s="96">
        <f t="shared" si="24"/>
        <v>-206032.89744604856</v>
      </c>
      <c r="G200" s="96">
        <f t="shared" si="24"/>
        <v>-159600.06817823183</v>
      </c>
      <c r="H200" s="96">
        <f>H184*Q87/1000</f>
        <v>-61480.309824358228</v>
      </c>
      <c r="I200" s="96"/>
    </row>
    <row r="201" spans="1:9" s="283" customFormat="1" ht="12.75">
      <c r="C201" s="285">
        <v>2014</v>
      </c>
      <c r="D201" s="96"/>
      <c r="E201" s="96">
        <f t="shared" si="24"/>
        <v>-142158.47525902072</v>
      </c>
      <c r="F201" s="96">
        <f t="shared" si="24"/>
        <v>-168102.82506189356</v>
      </c>
      <c r="G201" s="96">
        <f>G185*P88/1000</f>
        <v>-92677.355587666199</v>
      </c>
      <c r="H201" s="96"/>
      <c r="I201" s="96"/>
    </row>
    <row r="202" spans="1:9" s="283" customFormat="1" ht="12.75">
      <c r="C202" s="285">
        <v>2015</v>
      </c>
      <c r="D202" s="96">
        <f t="shared" si="24"/>
        <v>-40487.886606930173</v>
      </c>
      <c r="E202" s="96">
        <f t="shared" si="24"/>
        <v>-108940.16747233845</v>
      </c>
      <c r="F202" s="96">
        <f>F186*O89/1000</f>
        <v>-84387.672855050681</v>
      </c>
      <c r="G202" s="96"/>
      <c r="H202" s="96"/>
      <c r="I202" s="96"/>
    </row>
    <row r="203" spans="1:9" s="283" customFormat="1" ht="12.75">
      <c r="C203" s="285">
        <v>2016</v>
      </c>
      <c r="D203" s="96">
        <f t="shared" si="24"/>
        <v>-30229.081369385618</v>
      </c>
      <c r="E203" s="96">
        <f>E187*N90/1000</f>
        <v>-60476.539528511574</v>
      </c>
      <c r="F203" s="96"/>
      <c r="G203" s="96"/>
      <c r="H203" s="96"/>
      <c r="I203" s="96"/>
    </row>
    <row r="204" spans="1:9" s="283" customFormat="1" ht="12.75">
      <c r="C204" s="285">
        <v>2017</v>
      </c>
      <c r="D204" s="96">
        <f>D188*M91/1000</f>
        <v>-6701.1913855461089</v>
      </c>
      <c r="E204" s="96"/>
      <c r="F204" s="96"/>
      <c r="G204" s="96"/>
      <c r="H204" s="96"/>
      <c r="I204" s="96"/>
    </row>
    <row r="205" spans="1:9" s="283" customFormat="1" ht="12.75">
      <c r="C205" s="285"/>
      <c r="E205" s="96"/>
      <c r="F205" s="96"/>
      <c r="G205" s="96"/>
      <c r="H205" s="96"/>
      <c r="I205" s="96"/>
    </row>
    <row r="206" spans="1:9" s="283" customFormat="1" ht="12.75">
      <c r="A206" s="548" t="s">
        <v>365</v>
      </c>
      <c r="B206" s="548"/>
      <c r="C206" s="548"/>
      <c r="D206" s="548"/>
      <c r="E206" s="548"/>
      <c r="F206" s="548"/>
      <c r="G206" s="548"/>
      <c r="H206" s="548"/>
      <c r="I206" s="548"/>
    </row>
    <row r="207" spans="1:9" s="283" customFormat="1" ht="12.75"/>
    <row r="208" spans="1:9" s="283" customFormat="1" ht="12.75">
      <c r="C208" s="285" t="s">
        <v>218</v>
      </c>
      <c r="D208" s="546"/>
      <c r="E208" s="546"/>
      <c r="F208" s="546"/>
      <c r="G208" s="546"/>
      <c r="H208" s="546"/>
      <c r="I208" s="546"/>
    </row>
    <row r="209" spans="1:10" s="283" customFormat="1" ht="12.75">
      <c r="C209" s="38" t="s">
        <v>8</v>
      </c>
      <c r="D209" s="100">
        <v>15</v>
      </c>
      <c r="E209" s="100">
        <v>27</v>
      </c>
      <c r="F209" s="100">
        <v>39</v>
      </c>
      <c r="G209" s="100">
        <v>51</v>
      </c>
      <c r="H209" s="100">
        <v>63</v>
      </c>
      <c r="I209" s="100">
        <v>75</v>
      </c>
    </row>
    <row r="210" spans="1:10" s="283" customFormat="1" ht="4.5" customHeight="1"/>
    <row r="211" spans="1:10" s="283" customFormat="1" ht="12.75">
      <c r="C211" s="285">
        <v>2010</v>
      </c>
      <c r="D211" s="96"/>
      <c r="E211" s="96"/>
      <c r="F211" s="96"/>
      <c r="G211" s="96"/>
      <c r="H211" s="96"/>
      <c r="I211" s="96">
        <f t="shared" ref="I211" si="25">I197+I155</f>
        <v>631486.58049097308</v>
      </c>
    </row>
    <row r="212" spans="1:10" s="283" customFormat="1" ht="12.75">
      <c r="C212" s="285">
        <v>2011</v>
      </c>
      <c r="D212" s="96"/>
      <c r="E212" s="96"/>
      <c r="F212" s="96"/>
      <c r="G212" s="96"/>
      <c r="H212" s="96">
        <f t="shared" ref="H212:I212" si="26">H198+H156</f>
        <v>660775.69745658885</v>
      </c>
      <c r="I212" s="96">
        <f t="shared" si="26"/>
        <v>574283.73458676913</v>
      </c>
    </row>
    <row r="213" spans="1:10" s="283" customFormat="1" ht="12.75">
      <c r="C213" s="285">
        <v>2012</v>
      </c>
      <c r="D213" s="96"/>
      <c r="E213" s="96"/>
      <c r="F213" s="96"/>
      <c r="G213" s="96">
        <f t="shared" ref="G213:I213" si="27">G199+G157</f>
        <v>698590.24782240274</v>
      </c>
      <c r="H213" s="96">
        <f t="shared" si="27"/>
        <v>641724.46064267273</v>
      </c>
      <c r="I213" s="96">
        <f t="shared" si="27"/>
        <v>566341.31535972783</v>
      </c>
    </row>
    <row r="214" spans="1:10" s="283" customFormat="1" ht="12.75">
      <c r="C214" s="285">
        <v>2013</v>
      </c>
      <c r="D214" s="96"/>
      <c r="E214" s="96"/>
      <c r="F214" s="96">
        <f t="shared" ref="F214:H216" si="28">F200+F158</f>
        <v>751096.10555395077</v>
      </c>
      <c r="G214" s="96">
        <f t="shared" si="28"/>
        <v>704564.57282176742</v>
      </c>
      <c r="H214" s="96">
        <f t="shared" si="28"/>
        <v>627445.31617564184</v>
      </c>
      <c r="I214" s="96">
        <f>I200+I158</f>
        <v>549257.84499999997</v>
      </c>
    </row>
    <row r="215" spans="1:10" s="283" customFormat="1" ht="12.75">
      <c r="C215" s="285">
        <v>2014</v>
      </c>
      <c r="D215" s="96"/>
      <c r="E215" s="96">
        <f t="shared" ref="D215:E218" si="29">E201+E159</f>
        <v>734944.63274097943</v>
      </c>
      <c r="F215" s="96">
        <f t="shared" si="28"/>
        <v>766266.32693810656</v>
      </c>
      <c r="G215" s="96">
        <f t="shared" si="28"/>
        <v>701030.04141233407</v>
      </c>
      <c r="H215" s="96">
        <f>H201+H159</f>
        <v>624163.174</v>
      </c>
      <c r="I215" s="96"/>
    </row>
    <row r="216" spans="1:10" s="283" customFormat="1" ht="12.75">
      <c r="C216" s="285">
        <v>2015</v>
      </c>
      <c r="D216" s="96">
        <f t="shared" si="29"/>
        <v>482457.05439306994</v>
      </c>
      <c r="E216" s="96">
        <f t="shared" si="29"/>
        <v>779335.80552766181</v>
      </c>
      <c r="F216" s="96">
        <f t="shared" si="28"/>
        <v>801398.97914494935</v>
      </c>
      <c r="G216" s="96">
        <f>G202+G160</f>
        <v>734081.38</v>
      </c>
      <c r="H216" s="96"/>
      <c r="I216" s="96"/>
    </row>
    <row r="217" spans="1:10" s="283" customFormat="1" ht="12.75">
      <c r="C217" s="285">
        <v>2016</v>
      </c>
      <c r="D217" s="96">
        <f t="shared" si="29"/>
        <v>523891.81663061434</v>
      </c>
      <c r="E217" s="96">
        <f t="shared" si="29"/>
        <v>806320.50847148814</v>
      </c>
      <c r="F217" s="96">
        <f>F203+F161</f>
        <v>838008.27399999998</v>
      </c>
      <c r="G217" s="96"/>
      <c r="H217" s="96"/>
      <c r="I217" s="96"/>
    </row>
    <row r="218" spans="1:10" s="283" customFormat="1" ht="12.75">
      <c r="C218" s="285">
        <v>2017</v>
      </c>
      <c r="D218" s="96">
        <f t="shared" si="29"/>
        <v>563114.01761445391</v>
      </c>
      <c r="E218" s="96">
        <f>E204+E162</f>
        <v>857408.799</v>
      </c>
      <c r="F218" s="96"/>
      <c r="G218" s="96"/>
      <c r="H218" s="96"/>
      <c r="I218" s="96"/>
    </row>
    <row r="219" spans="1:10" s="283" customFormat="1" ht="12.75">
      <c r="C219" s="285">
        <v>2018</v>
      </c>
      <c r="D219" s="96">
        <f>D205+D163</f>
        <v>598127.75600000005</v>
      </c>
      <c r="E219" s="96"/>
      <c r="F219" s="96"/>
      <c r="G219" s="96"/>
      <c r="H219" s="96"/>
      <c r="I219" s="96"/>
    </row>
    <row r="220" spans="1:10" s="283" customFormat="1" ht="12.75">
      <c r="C220" s="285"/>
      <c r="E220" s="96"/>
      <c r="F220" s="96"/>
      <c r="G220" s="96"/>
      <c r="H220" s="96"/>
      <c r="I220" s="96"/>
    </row>
    <row r="221" spans="1:10" s="283" customFormat="1" ht="64.5" customHeight="1">
      <c r="A221" s="212" t="s">
        <v>43</v>
      </c>
      <c r="B221" s="533" t="s">
        <v>328</v>
      </c>
      <c r="C221" s="533"/>
      <c r="D221" s="533"/>
      <c r="E221" s="533"/>
      <c r="F221" s="533"/>
      <c r="G221" s="533"/>
      <c r="H221" s="533"/>
      <c r="I221" s="533"/>
      <c r="J221" s="349"/>
    </row>
    <row r="222" spans="1:10" s="283" customFormat="1" ht="38.25" customHeight="1">
      <c r="A222" s="212" t="s">
        <v>85</v>
      </c>
      <c r="B222" s="533" t="s">
        <v>329</v>
      </c>
      <c r="C222" s="533"/>
      <c r="D222" s="533"/>
      <c r="E222" s="533"/>
      <c r="F222" s="533"/>
      <c r="G222" s="533"/>
      <c r="H222" s="533"/>
      <c r="I222" s="533"/>
      <c r="J222" s="349"/>
    </row>
    <row r="223" spans="1:10" s="283" customFormat="1" ht="39" customHeight="1">
      <c r="A223" s="212" t="s">
        <v>185</v>
      </c>
      <c r="B223" s="533" t="s">
        <v>330</v>
      </c>
      <c r="C223" s="533"/>
      <c r="D223" s="533"/>
      <c r="E223" s="533"/>
      <c r="F223" s="533"/>
      <c r="G223" s="533"/>
      <c r="H223" s="533"/>
      <c r="I223" s="533"/>
      <c r="J223" s="349"/>
    </row>
    <row r="224" spans="1:10" s="283" customFormat="1" ht="12.75"/>
    <row r="225" spans="1:10" s="283" customFormat="1" ht="12.75">
      <c r="B225" s="549" t="s">
        <v>326</v>
      </c>
      <c r="C225" s="549"/>
      <c r="D225" s="549"/>
      <c r="E225" s="549"/>
      <c r="F225" s="549"/>
      <c r="G225" s="549"/>
      <c r="H225" s="549"/>
      <c r="I225" s="549"/>
      <c r="J225" s="549"/>
    </row>
    <row r="226" spans="1:10">
      <c r="A226" s="326"/>
      <c r="B226" s="326"/>
      <c r="C226" s="326"/>
      <c r="D226" s="326"/>
      <c r="E226" s="326"/>
      <c r="F226" s="326"/>
      <c r="G226" s="326"/>
      <c r="H226" s="326"/>
    </row>
    <row r="227" spans="1:10">
      <c r="A227" s="326"/>
      <c r="B227" s="326"/>
      <c r="C227" s="146"/>
      <c r="D227" s="264"/>
      <c r="E227" s="264"/>
      <c r="F227" s="264"/>
      <c r="G227" s="264"/>
      <c r="H227" s="326"/>
    </row>
    <row r="228" spans="1:10" s="283" customFormat="1" ht="12.75">
      <c r="A228" s="547" t="s">
        <v>37</v>
      </c>
      <c r="B228" s="547"/>
      <c r="C228" s="547"/>
      <c r="D228" s="547"/>
      <c r="E228" s="547"/>
      <c r="F228" s="547"/>
      <c r="G228" s="547"/>
      <c r="H228" s="547"/>
      <c r="I228" s="547"/>
    </row>
    <row r="229" spans="1:10" s="283" customFormat="1" ht="12.75">
      <c r="A229" s="547" t="s">
        <v>297</v>
      </c>
      <c r="B229" s="547"/>
      <c r="C229" s="547"/>
      <c r="D229" s="547"/>
      <c r="E229" s="547"/>
      <c r="F229" s="547"/>
      <c r="G229" s="547"/>
      <c r="H229" s="547"/>
      <c r="I229" s="547"/>
    </row>
    <row r="230" spans="1:10" s="283" customFormat="1" ht="12.75">
      <c r="A230" s="547" t="s">
        <v>298</v>
      </c>
      <c r="B230" s="547"/>
      <c r="C230" s="547"/>
      <c r="D230" s="547"/>
      <c r="E230" s="547"/>
      <c r="F230" s="547"/>
      <c r="G230" s="547"/>
      <c r="H230" s="547"/>
      <c r="I230" s="547"/>
    </row>
    <row r="231" spans="1:10" s="283" customFormat="1" ht="12.75">
      <c r="A231" s="281"/>
      <c r="B231" s="281"/>
      <c r="C231" s="281"/>
      <c r="D231" s="281"/>
      <c r="E231" s="281"/>
      <c r="F231" s="281"/>
      <c r="G231" s="281"/>
      <c r="H231" s="281"/>
    </row>
    <row r="232" spans="1:10" s="283" customFormat="1" ht="12.75">
      <c r="A232" s="281"/>
      <c r="B232" s="281"/>
      <c r="C232" s="281"/>
      <c r="D232" s="281"/>
      <c r="E232" s="281"/>
      <c r="F232" s="281"/>
      <c r="G232" s="281"/>
      <c r="H232" s="281"/>
    </row>
    <row r="233" spans="1:10" s="283" customFormat="1" ht="12.75">
      <c r="A233" s="548" t="s">
        <v>331</v>
      </c>
      <c r="B233" s="548"/>
      <c r="C233" s="548"/>
      <c r="D233" s="548"/>
      <c r="E233" s="548"/>
      <c r="F233" s="548"/>
      <c r="G233" s="548"/>
      <c r="H233" s="548"/>
      <c r="I233" s="548"/>
    </row>
    <row r="234" spans="1:10" s="283" customFormat="1" ht="12.75"/>
    <row r="235" spans="1:10" s="283" customFormat="1" ht="12.75">
      <c r="C235" s="285" t="s">
        <v>218</v>
      </c>
      <c r="D235" s="546"/>
      <c r="E235" s="546"/>
      <c r="F235" s="546"/>
      <c r="G235" s="546"/>
      <c r="H235" s="546"/>
      <c r="I235" s="546"/>
    </row>
    <row r="236" spans="1:10" s="283" customFormat="1" ht="12.75">
      <c r="C236" s="38" t="s">
        <v>8</v>
      </c>
      <c r="D236" s="427">
        <v>15</v>
      </c>
      <c r="E236" s="427">
        <v>27</v>
      </c>
      <c r="F236" s="427">
        <v>39</v>
      </c>
      <c r="G236" s="427">
        <v>51</v>
      </c>
      <c r="H236" s="427">
        <v>63</v>
      </c>
      <c r="I236" s="427">
        <v>75</v>
      </c>
    </row>
    <row r="237" spans="1:10" s="283" customFormat="1" ht="4.5" customHeight="1">
      <c r="D237" s="409"/>
      <c r="E237" s="409"/>
      <c r="F237" s="409"/>
      <c r="G237" s="409"/>
      <c r="H237" s="409"/>
      <c r="I237" s="409"/>
    </row>
    <row r="238" spans="1:10" s="283" customFormat="1" ht="12.75">
      <c r="C238" s="285">
        <v>2010</v>
      </c>
      <c r="D238" s="433" t="s">
        <v>36</v>
      </c>
      <c r="E238" s="433" t="s">
        <v>36</v>
      </c>
      <c r="F238" s="433"/>
      <c r="G238" s="433"/>
      <c r="H238" s="433"/>
      <c r="I238" s="433">
        <v>227487.56599999999</v>
      </c>
    </row>
    <row r="239" spans="1:10" s="283" customFormat="1" ht="12.75">
      <c r="C239" s="285">
        <v>2011</v>
      </c>
      <c r="D239" s="433" t="s">
        <v>36</v>
      </c>
      <c r="E239" s="433"/>
      <c r="F239" s="433"/>
      <c r="G239" s="433"/>
      <c r="H239" s="433">
        <v>213500.09199999998</v>
      </c>
      <c r="I239" s="433">
        <v>216812.66200000001</v>
      </c>
    </row>
    <row r="240" spans="1:10" s="283" customFormat="1" ht="12.75">
      <c r="C240" s="285">
        <v>2012</v>
      </c>
      <c r="D240" s="433"/>
      <c r="E240" s="433"/>
      <c r="F240" s="433"/>
      <c r="G240" s="433">
        <v>216761.51400000002</v>
      </c>
      <c r="H240" s="433">
        <v>221614.88400000002</v>
      </c>
      <c r="I240" s="433">
        <v>225995.41500000004</v>
      </c>
    </row>
    <row r="241" spans="1:9" s="283" customFormat="1" ht="12.75">
      <c r="C241" s="285">
        <v>2013</v>
      </c>
      <c r="D241" s="433"/>
      <c r="E241" s="433"/>
      <c r="F241" s="433">
        <v>215707.39200000002</v>
      </c>
      <c r="G241" s="433">
        <v>221923.08100000003</v>
      </c>
      <c r="H241" s="433">
        <v>228605.14</v>
      </c>
      <c r="I241" s="433">
        <v>231094.70699999999</v>
      </c>
    </row>
    <row r="242" spans="1:9" s="283" customFormat="1" ht="12.75">
      <c r="C242" s="285">
        <v>2014</v>
      </c>
      <c r="D242" s="433"/>
      <c r="E242" s="433">
        <v>230330.16400000002</v>
      </c>
      <c r="F242" s="433">
        <v>240128.82700000005</v>
      </c>
      <c r="G242" s="433">
        <v>246896.91500000004</v>
      </c>
      <c r="H242" s="433">
        <v>249602.136</v>
      </c>
      <c r="I242" s="433"/>
    </row>
    <row r="243" spans="1:9" s="283" customFormat="1" ht="12.75">
      <c r="C243" s="285">
        <v>2015</v>
      </c>
      <c r="D243" s="433">
        <v>204648.91200000004</v>
      </c>
      <c r="E243" s="433">
        <v>242435.74200000003</v>
      </c>
      <c r="F243" s="433">
        <v>251805.17700000003</v>
      </c>
      <c r="G243" s="433">
        <v>257238.15100000001</v>
      </c>
      <c r="H243" s="433"/>
      <c r="I243" s="433"/>
    </row>
    <row r="244" spans="1:9" s="283" customFormat="1" ht="12.75">
      <c r="C244" s="285">
        <v>2016</v>
      </c>
      <c r="D244" s="433">
        <v>217847.93499999997</v>
      </c>
      <c r="E244" s="433">
        <v>259030.69099999996</v>
      </c>
      <c r="F244" s="433">
        <v>269105.90899999999</v>
      </c>
      <c r="G244" s="433"/>
      <c r="H244" s="433"/>
      <c r="I244" s="433"/>
    </row>
    <row r="245" spans="1:9" s="283" customFormat="1" ht="12.75">
      <c r="C245" s="285">
        <v>2017</v>
      </c>
      <c r="D245" s="433">
        <v>238198.408</v>
      </c>
      <c r="E245" s="433">
        <v>278463.32699999999</v>
      </c>
      <c r="F245" s="433"/>
      <c r="G245" s="433"/>
      <c r="H245" s="433"/>
      <c r="I245" s="433"/>
    </row>
    <row r="246" spans="1:9" s="283" customFormat="1" ht="12.75">
      <c r="C246" s="285">
        <v>2018</v>
      </c>
      <c r="D246" s="433">
        <v>252103.484</v>
      </c>
      <c r="E246" s="433"/>
      <c r="F246" s="433"/>
      <c r="G246" s="433"/>
      <c r="H246" s="433"/>
      <c r="I246" s="433"/>
    </row>
    <row r="247" spans="1:9" s="283" customFormat="1" ht="12.75">
      <c r="D247" s="409"/>
      <c r="E247" s="433"/>
      <c r="F247" s="433"/>
      <c r="G247" s="433"/>
      <c r="H247" s="433"/>
      <c r="I247" s="433"/>
    </row>
    <row r="248" spans="1:9" s="283" customFormat="1" ht="12.75">
      <c r="A248" s="548" t="s">
        <v>366</v>
      </c>
      <c r="B248" s="548"/>
      <c r="C248" s="548"/>
      <c r="D248" s="548"/>
      <c r="E248" s="548"/>
      <c r="F248" s="548"/>
      <c r="G248" s="548"/>
      <c r="H248" s="548"/>
      <c r="I248" s="548"/>
    </row>
    <row r="249" spans="1:9" s="283" customFormat="1" ht="12.75"/>
    <row r="250" spans="1:9" s="283" customFormat="1" ht="12.75">
      <c r="C250" s="285" t="s">
        <v>218</v>
      </c>
      <c r="D250" s="546"/>
      <c r="E250" s="546"/>
      <c r="F250" s="546"/>
      <c r="G250" s="546"/>
      <c r="H250" s="546"/>
      <c r="I250" s="546"/>
    </row>
    <row r="251" spans="1:9" s="283" customFormat="1" ht="12.75">
      <c r="C251" s="38" t="s">
        <v>8</v>
      </c>
      <c r="D251" s="100">
        <v>15</v>
      </c>
      <c r="E251" s="100">
        <v>27</v>
      </c>
      <c r="F251" s="100">
        <v>39</v>
      </c>
      <c r="G251" s="100">
        <v>51</v>
      </c>
      <c r="H251" s="100">
        <v>63</v>
      </c>
      <c r="I251" s="100">
        <v>75</v>
      </c>
    </row>
    <row r="252" spans="1:9" s="283" customFormat="1" ht="4.5" customHeight="1"/>
    <row r="253" spans="1:9" s="283" customFormat="1" ht="12.75">
      <c r="C253" s="285">
        <v>2010</v>
      </c>
      <c r="D253" s="96"/>
      <c r="E253" s="96"/>
      <c r="F253" s="96"/>
      <c r="G253" s="428"/>
      <c r="H253" s="428"/>
      <c r="I253" s="428">
        <v>3445659.3501976538</v>
      </c>
    </row>
    <row r="254" spans="1:9" s="283" customFormat="1" ht="12.75">
      <c r="C254" s="285">
        <v>2011</v>
      </c>
      <c r="D254" s="96"/>
      <c r="E254" s="96"/>
      <c r="F254" s="96"/>
      <c r="G254" s="428"/>
      <c r="H254" s="428">
        <v>3226732.5713419402</v>
      </c>
      <c r="I254" s="428">
        <v>3447783.1784219192</v>
      </c>
    </row>
    <row r="255" spans="1:9" s="283" customFormat="1" ht="12.75">
      <c r="C255" s="285">
        <v>2012</v>
      </c>
      <c r="D255" s="96"/>
      <c r="E255" s="96"/>
      <c r="F255" s="96"/>
      <c r="G255" s="428">
        <v>2647153.1322381273</v>
      </c>
      <c r="H255" s="428">
        <v>2926080.3230900322</v>
      </c>
      <c r="I255" s="428">
        <v>3115212.1449213941</v>
      </c>
    </row>
    <row r="256" spans="1:9" s="283" customFormat="1" ht="12.75">
      <c r="C256" s="285">
        <v>2013</v>
      </c>
      <c r="D256" s="96"/>
      <c r="E256" s="96"/>
      <c r="F256" s="96">
        <f t="shared" ref="F256:I258" si="30">F241+F214+F143</f>
        <v>2229930.2085348382</v>
      </c>
      <c r="G256" s="96">
        <f t="shared" si="30"/>
        <v>2645241.4980873526</v>
      </c>
      <c r="H256" s="96">
        <f t="shared" si="30"/>
        <v>2892874.9756974094</v>
      </c>
      <c r="I256" s="96">
        <f t="shared" si="30"/>
        <v>3065786.3639999991</v>
      </c>
    </row>
    <row r="257" spans="1:9" s="283" customFormat="1" ht="12.75">
      <c r="C257" s="285">
        <v>2014</v>
      </c>
      <c r="D257" s="96"/>
      <c r="E257" s="96">
        <f t="shared" ref="D257:E260" si="31">E242+E215+E144</f>
        <v>1664478.9001687514</v>
      </c>
      <c r="F257" s="96">
        <f t="shared" si="30"/>
        <v>2289617.9444510788</v>
      </c>
      <c r="G257" s="96">
        <f t="shared" si="30"/>
        <v>2688646.6604238884</v>
      </c>
      <c r="H257" s="96">
        <f t="shared" si="30"/>
        <v>2929162.736</v>
      </c>
      <c r="I257" s="96"/>
    </row>
    <row r="258" spans="1:9" s="283" customFormat="1" ht="12.75">
      <c r="C258" s="285">
        <v>2015</v>
      </c>
      <c r="D258" s="96">
        <f t="shared" si="31"/>
        <v>877290.17876836273</v>
      </c>
      <c r="E258" s="96">
        <f t="shared" si="31"/>
        <v>1739583.1010273523</v>
      </c>
      <c r="F258" s="96">
        <f t="shared" si="30"/>
        <v>2343325.4074260616</v>
      </c>
      <c r="G258" s="96">
        <f t="shared" si="30"/>
        <v>2736143.2079999996</v>
      </c>
      <c r="H258" s="96"/>
      <c r="I258" s="96"/>
    </row>
    <row r="259" spans="1:9" s="283" customFormat="1" ht="12.75">
      <c r="C259" s="285">
        <v>2016</v>
      </c>
      <c r="D259" s="96">
        <f t="shared" si="31"/>
        <v>938386.27639453264</v>
      </c>
      <c r="E259" s="96">
        <f t="shared" si="31"/>
        <v>1770901.3763176973</v>
      </c>
      <c r="F259" s="96">
        <f>F244+F217+F146</f>
        <v>2348945.9900000002</v>
      </c>
      <c r="G259" s="96"/>
      <c r="H259" s="96"/>
      <c r="I259" s="96"/>
    </row>
    <row r="260" spans="1:9" s="283" customFormat="1" ht="12.75">
      <c r="C260" s="285">
        <v>2017</v>
      </c>
      <c r="D260" s="96">
        <f t="shared" si="31"/>
        <v>990106.19992993132</v>
      </c>
      <c r="E260" s="96">
        <f>E245+E218+E147</f>
        <v>1819051.9499999997</v>
      </c>
      <c r="F260" s="96"/>
      <c r="G260" s="96"/>
      <c r="H260" s="96"/>
      <c r="I260" s="96"/>
    </row>
    <row r="261" spans="1:9" s="283" customFormat="1" ht="12.75">
      <c r="C261" s="285">
        <v>2018</v>
      </c>
      <c r="D261" s="96">
        <f>D246+D219+D148</f>
        <v>1044299.1139999998</v>
      </c>
      <c r="E261" s="96"/>
      <c r="F261" s="96"/>
      <c r="G261" s="96"/>
      <c r="H261" s="96"/>
      <c r="I261" s="96"/>
    </row>
    <row r="262" spans="1:9" s="283" customFormat="1" ht="12.75">
      <c r="E262" s="96"/>
      <c r="F262" s="96"/>
    </row>
    <row r="263" spans="1:9" s="283" customFormat="1" ht="12.75">
      <c r="A263" s="548" t="s">
        <v>332</v>
      </c>
      <c r="B263" s="548"/>
      <c r="C263" s="548"/>
      <c r="D263" s="548"/>
      <c r="E263" s="548"/>
      <c r="F263" s="548"/>
      <c r="G263" s="548"/>
      <c r="H263" s="548"/>
      <c r="I263" s="548"/>
    </row>
    <row r="264" spans="1:9" s="283" customFormat="1" ht="12.75"/>
    <row r="265" spans="1:9" s="283" customFormat="1" ht="12.75">
      <c r="C265" s="285" t="s">
        <v>218</v>
      </c>
      <c r="D265" s="546"/>
      <c r="E265" s="546"/>
      <c r="F265" s="546"/>
      <c r="G265" s="546"/>
      <c r="H265" s="546"/>
    </row>
    <row r="266" spans="1:9" s="283" customFormat="1" ht="12.75">
      <c r="C266" s="38" t="s">
        <v>8</v>
      </c>
      <c r="D266" s="100" t="s">
        <v>479</v>
      </c>
      <c r="E266" s="100" t="s">
        <v>480</v>
      </c>
      <c r="F266" s="100" t="s">
        <v>481</v>
      </c>
      <c r="G266" s="100" t="s">
        <v>482</v>
      </c>
      <c r="H266" s="100" t="s">
        <v>483</v>
      </c>
    </row>
    <row r="267" spans="1:9" s="283" customFormat="1" ht="4.5" customHeight="1"/>
    <row r="268" spans="1:9" s="283" customFormat="1" ht="12.75">
      <c r="C268" s="285">
        <v>2011</v>
      </c>
      <c r="D268" s="213"/>
      <c r="E268" s="213"/>
      <c r="F268" s="213"/>
      <c r="G268" s="213"/>
      <c r="H268" s="213">
        <f>I254/H254</f>
        <v>1.0685060203139327</v>
      </c>
    </row>
    <row r="269" spans="1:9" s="283" customFormat="1" ht="12.75">
      <c r="C269" s="285">
        <v>2012</v>
      </c>
      <c r="D269" s="213"/>
      <c r="E269" s="213"/>
      <c r="F269" s="213"/>
      <c r="G269" s="213">
        <f>H255/G255</f>
        <v>1.1053687402723378</v>
      </c>
      <c r="H269" s="213">
        <f t="shared" ref="H269" si="32">I255/H255</f>
        <v>1.0646365789547543</v>
      </c>
    </row>
    <row r="270" spans="1:9" s="283" customFormat="1" ht="12.75">
      <c r="C270" s="285">
        <v>2013</v>
      </c>
      <c r="D270" s="213"/>
      <c r="E270" s="213"/>
      <c r="F270" s="213">
        <f>G256/F256</f>
        <v>1.1862440752463694</v>
      </c>
      <c r="G270" s="213">
        <f t="shared" ref="G270:H270" si="33">H256/G256</f>
        <v>1.093614695591729</v>
      </c>
      <c r="H270" s="213">
        <f t="shared" si="33"/>
        <v>1.0597714694742051</v>
      </c>
    </row>
    <row r="271" spans="1:9" s="283" customFormat="1" ht="12.75">
      <c r="C271" s="285">
        <v>2014</v>
      </c>
      <c r="D271" s="213"/>
      <c r="E271" s="213">
        <f>F257/E257</f>
        <v>1.3755764306888771</v>
      </c>
      <c r="F271" s="213">
        <f t="shared" ref="F271:G271" si="34">G257/F257</f>
        <v>1.1742774234189863</v>
      </c>
      <c r="G271" s="213">
        <f t="shared" si="34"/>
        <v>1.0894561859378697</v>
      </c>
      <c r="H271" s="213"/>
    </row>
    <row r="272" spans="1:9" s="283" customFormat="1" ht="12.75">
      <c r="C272" s="285">
        <v>2015</v>
      </c>
      <c r="D272" s="213">
        <f>E258/D258</f>
        <v>1.9829050217677942</v>
      </c>
      <c r="E272" s="213">
        <f t="shared" ref="D272:E274" si="35">F258/E258</f>
        <v>1.3470614919414627</v>
      </c>
      <c r="F272" s="213">
        <f t="shared" ref="F272" si="36">G258/F258</f>
        <v>1.1676326298213162</v>
      </c>
      <c r="G272" s="213"/>
      <c r="H272" s="213"/>
    </row>
    <row r="273" spans="1:11" s="283" customFormat="1" ht="12.75">
      <c r="C273" s="285">
        <v>2016</v>
      </c>
      <c r="D273" s="213">
        <f t="shared" si="35"/>
        <v>1.887177403235109</v>
      </c>
      <c r="E273" s="213">
        <f t="shared" si="35"/>
        <v>1.3264126514398296</v>
      </c>
      <c r="F273" s="213"/>
      <c r="G273" s="213"/>
      <c r="H273" s="213"/>
    </row>
    <row r="274" spans="1:11" s="283" customFormat="1" ht="12.75">
      <c r="C274" s="285">
        <v>2017</v>
      </c>
      <c r="D274" s="213">
        <f t="shared" si="35"/>
        <v>1.837229127672094</v>
      </c>
      <c r="E274" s="213"/>
      <c r="F274" s="213"/>
      <c r="G274" s="213"/>
      <c r="H274" s="213"/>
    </row>
    <row r="275" spans="1:11" s="283" customFormat="1" ht="12.75">
      <c r="C275" s="285"/>
    </row>
    <row r="276" spans="1:11" s="283" customFormat="1" ht="12.75">
      <c r="C276" s="283" t="s">
        <v>301</v>
      </c>
      <c r="D276" s="213">
        <f>D274</f>
        <v>1.837229127672094</v>
      </c>
      <c r="E276" s="213">
        <f>E273</f>
        <v>1.3264126514398296</v>
      </c>
      <c r="F276" s="213">
        <f>F272</f>
        <v>1.1676326298213162</v>
      </c>
      <c r="G276" s="213">
        <f>G271</f>
        <v>1.0894561859378697</v>
      </c>
      <c r="H276" s="213">
        <f>H270</f>
        <v>1.0597714694742051</v>
      </c>
    </row>
    <row r="277" spans="1:11" s="283" customFormat="1" ht="12.75"/>
    <row r="278" spans="1:11" s="283" customFormat="1" ht="55.9" customHeight="1">
      <c r="A278" s="212" t="s">
        <v>189</v>
      </c>
      <c r="B278" s="557" t="s">
        <v>367</v>
      </c>
      <c r="C278" s="557"/>
      <c r="D278" s="557"/>
      <c r="E278" s="557"/>
      <c r="F278" s="557"/>
      <c r="G278" s="557"/>
      <c r="H278" s="557"/>
      <c r="I278" s="557"/>
    </row>
    <row r="279" spans="1:11" s="283" customFormat="1" ht="12.75"/>
    <row r="280" spans="1:11" s="283" customFormat="1" ht="12.75">
      <c r="B280" s="549" t="s">
        <v>326</v>
      </c>
      <c r="C280" s="549"/>
      <c r="D280" s="549"/>
      <c r="E280" s="549"/>
      <c r="F280" s="549"/>
      <c r="G280" s="549"/>
      <c r="H280" s="549"/>
      <c r="I280" s="549"/>
    </row>
    <row r="281" spans="1:11">
      <c r="A281" s="326"/>
      <c r="B281" s="326"/>
      <c r="C281" s="326"/>
      <c r="D281" s="330"/>
      <c r="E281" s="330"/>
      <c r="F281" s="330"/>
      <c r="G281" s="330"/>
      <c r="H281" s="326"/>
    </row>
    <row r="282" spans="1:11">
      <c r="A282" s="326"/>
      <c r="B282" s="326"/>
      <c r="C282" s="326"/>
      <c r="D282" s="330"/>
      <c r="E282" s="330"/>
      <c r="F282" s="330"/>
      <c r="G282" s="330"/>
      <c r="H282" s="326"/>
    </row>
    <row r="283" spans="1:11" s="283" customFormat="1" ht="12.75">
      <c r="A283" s="547" t="s">
        <v>37</v>
      </c>
      <c r="B283" s="547"/>
      <c r="C283" s="547"/>
      <c r="D283" s="547"/>
      <c r="E283" s="547"/>
      <c r="F283" s="547"/>
      <c r="G283" s="547"/>
      <c r="H283" s="547"/>
      <c r="I283" s="547"/>
      <c r="J283" s="352"/>
      <c r="K283" s="281"/>
    </row>
    <row r="284" spans="1:11" s="283" customFormat="1" ht="12.75">
      <c r="A284" s="547" t="s">
        <v>297</v>
      </c>
      <c r="B284" s="547"/>
      <c r="C284" s="547"/>
      <c r="D284" s="547"/>
      <c r="E284" s="547"/>
      <c r="F284" s="547"/>
      <c r="G284" s="547"/>
      <c r="H284" s="547"/>
      <c r="I284" s="547"/>
      <c r="J284" s="352"/>
      <c r="K284" s="281"/>
    </row>
    <row r="285" spans="1:11" s="283" customFormat="1" ht="12.75">
      <c r="A285" s="547" t="s">
        <v>298</v>
      </c>
      <c r="B285" s="547"/>
      <c r="C285" s="547"/>
      <c r="D285" s="547"/>
      <c r="E285" s="547"/>
      <c r="F285" s="547"/>
      <c r="G285" s="547"/>
      <c r="H285" s="547"/>
      <c r="I285" s="547"/>
      <c r="J285" s="352"/>
      <c r="K285" s="281"/>
    </row>
    <row r="286" spans="1:11" s="283" customFormat="1" ht="12.75">
      <c r="A286" s="281"/>
      <c r="B286" s="281"/>
      <c r="C286" s="281"/>
      <c r="D286" s="281"/>
      <c r="E286" s="281"/>
      <c r="F286" s="281"/>
      <c r="G286" s="281"/>
      <c r="H286" s="281"/>
      <c r="I286" s="281"/>
      <c r="J286" s="281"/>
      <c r="K286" s="281"/>
    </row>
    <row r="287" spans="1:11" s="283" customFormat="1" ht="12.75">
      <c r="A287" s="281"/>
      <c r="B287" s="281"/>
      <c r="C287" s="281"/>
      <c r="D287" s="281"/>
      <c r="E287" s="281"/>
      <c r="F287" s="281"/>
      <c r="G287" s="281"/>
      <c r="H287" s="281"/>
      <c r="I287" s="281"/>
      <c r="J287" s="281"/>
      <c r="K287" s="281"/>
    </row>
    <row r="288" spans="1:11" s="283" customFormat="1" ht="12.75">
      <c r="A288" s="548" t="s">
        <v>368</v>
      </c>
      <c r="B288" s="548"/>
      <c r="C288" s="548"/>
      <c r="D288" s="548"/>
      <c r="E288" s="548"/>
      <c r="F288" s="548"/>
      <c r="G288" s="548"/>
      <c r="H288" s="548"/>
    </row>
    <row r="289" spans="1:16" s="283" customFormat="1" ht="12.75"/>
    <row r="290" spans="1:16" s="283" customFormat="1" ht="12.75">
      <c r="C290" s="285" t="s">
        <v>218</v>
      </c>
      <c r="D290" s="546"/>
      <c r="E290" s="546"/>
      <c r="F290" s="546"/>
      <c r="G290" s="546"/>
      <c r="H290" s="546"/>
    </row>
    <row r="291" spans="1:16" s="283" customFormat="1" ht="12.75">
      <c r="C291" s="38" t="s">
        <v>8</v>
      </c>
      <c r="D291" s="427" t="s">
        <v>479</v>
      </c>
      <c r="E291" s="427" t="s">
        <v>480</v>
      </c>
      <c r="F291" s="427" t="s">
        <v>481</v>
      </c>
      <c r="G291" s="427" t="s">
        <v>482</v>
      </c>
      <c r="H291" s="427" t="s">
        <v>483</v>
      </c>
    </row>
    <row r="292" spans="1:16" s="283" customFormat="1" ht="4.5" customHeight="1">
      <c r="D292" s="409"/>
      <c r="E292" s="409"/>
      <c r="F292" s="409"/>
      <c r="G292" s="409"/>
      <c r="H292" s="409"/>
    </row>
    <row r="293" spans="1:16" s="283" customFormat="1" ht="12.75">
      <c r="C293" s="285">
        <v>2011</v>
      </c>
      <c r="D293" s="434"/>
      <c r="E293" s="434"/>
      <c r="F293" s="434"/>
      <c r="G293" s="434"/>
      <c r="H293" s="434">
        <v>1.0815776199479037</v>
      </c>
    </row>
    <row r="294" spans="1:16" s="283" customFormat="1" ht="12.75">
      <c r="C294" s="285">
        <v>2012</v>
      </c>
      <c r="D294" s="434"/>
      <c r="E294" s="434"/>
      <c r="F294" s="434"/>
      <c r="G294" s="434">
        <v>1.1254412418556066</v>
      </c>
      <c r="H294" s="434">
        <v>1.0753447951574184</v>
      </c>
    </row>
    <row r="295" spans="1:16" s="283" customFormat="1" ht="12.75">
      <c r="C295" s="285">
        <v>2013</v>
      </c>
      <c r="D295" s="434"/>
      <c r="E295" s="434"/>
      <c r="F295" s="434">
        <v>1.2036773194374457</v>
      </c>
      <c r="G295" s="434">
        <v>1.1100453683328748</v>
      </c>
      <c r="H295" s="434">
        <v>1.0674963202237462</v>
      </c>
    </row>
    <row r="296" spans="1:16" s="283" customFormat="1" ht="12.75">
      <c r="C296" s="285">
        <v>2014</v>
      </c>
      <c r="D296" s="434"/>
      <c r="E296" s="434">
        <v>1.384695754630809</v>
      </c>
      <c r="F296" s="434">
        <v>1.1935206518197883</v>
      </c>
      <c r="G296" s="434">
        <v>1.104441040502526</v>
      </c>
      <c r="H296" s="434"/>
    </row>
    <row r="297" spans="1:16" s="283" customFormat="1" ht="12.75">
      <c r="C297" s="285">
        <v>2015</v>
      </c>
      <c r="D297" s="434">
        <v>1.9552322057193974</v>
      </c>
      <c r="E297" s="434">
        <v>1.3589431299159775</v>
      </c>
      <c r="F297" s="434">
        <v>1.184713541334981</v>
      </c>
      <c r="G297" s="434"/>
      <c r="H297" s="434"/>
    </row>
    <row r="298" spans="1:16" s="283" customFormat="1" ht="12.75">
      <c r="C298" s="285">
        <v>2016</v>
      </c>
      <c r="D298" s="434">
        <v>1.8762660392570263</v>
      </c>
      <c r="E298" s="434">
        <v>1.3395043675059408</v>
      </c>
      <c r="F298" s="434"/>
      <c r="G298" s="434"/>
      <c r="H298" s="434"/>
    </row>
    <row r="299" spans="1:16" s="283" customFormat="1" ht="12.75">
      <c r="C299" s="285">
        <v>2017</v>
      </c>
      <c r="D299" s="434">
        <v>1.8381450735252238</v>
      </c>
      <c r="E299" s="434"/>
      <c r="F299" s="434"/>
      <c r="G299" s="434"/>
      <c r="H299" s="434"/>
    </row>
    <row r="300" spans="1:16" s="283" customFormat="1" ht="12.75">
      <c r="A300" s="281"/>
      <c r="B300" s="281"/>
      <c r="C300" s="281"/>
      <c r="E300" s="281"/>
      <c r="F300" s="281"/>
      <c r="G300" s="281"/>
      <c r="H300" s="281"/>
      <c r="I300" s="281"/>
      <c r="J300" s="281"/>
      <c r="K300" s="281"/>
    </row>
    <row r="301" spans="1:16" s="283" customFormat="1" ht="12.75">
      <c r="A301" s="548" t="s">
        <v>369</v>
      </c>
      <c r="B301" s="548"/>
      <c r="C301" s="548"/>
      <c r="D301" s="548"/>
      <c r="E301" s="548"/>
      <c r="F301" s="548"/>
      <c r="G301" s="548"/>
      <c r="H301" s="548"/>
      <c r="K301" s="343" t="s">
        <v>537</v>
      </c>
      <c r="L301" s="343"/>
      <c r="M301" s="343"/>
      <c r="N301" s="343"/>
      <c r="O301" s="343"/>
      <c r="P301" s="343"/>
    </row>
    <row r="302" spans="1:16" s="283" customFormat="1">
      <c r="K302"/>
      <c r="L302"/>
      <c r="M302" s="136"/>
      <c r="N302" s="136"/>
      <c r="O302" s="136"/>
      <c r="P302" s="136"/>
    </row>
    <row r="303" spans="1:16" s="283" customFormat="1" ht="12.75">
      <c r="C303" s="285" t="s">
        <v>218</v>
      </c>
      <c r="D303" s="546"/>
      <c r="E303" s="546"/>
      <c r="F303" s="546"/>
      <c r="G303" s="546"/>
      <c r="H303" s="546"/>
      <c r="I303" s="79"/>
      <c r="K303" s="392" t="s">
        <v>218</v>
      </c>
      <c r="L303" s="546" t="s">
        <v>350</v>
      </c>
      <c r="M303" s="546"/>
      <c r="N303" s="546"/>
      <c r="O303" s="546"/>
      <c r="P303" s="546"/>
    </row>
    <row r="304" spans="1:16" s="283" customFormat="1" ht="12.75">
      <c r="C304" s="38" t="s">
        <v>8</v>
      </c>
      <c r="D304" s="100" t="s">
        <v>479</v>
      </c>
      <c r="E304" s="100" t="s">
        <v>480</v>
      </c>
      <c r="F304" s="100" t="s">
        <v>481</v>
      </c>
      <c r="G304" s="100" t="s">
        <v>482</v>
      </c>
      <c r="H304" s="100" t="s">
        <v>483</v>
      </c>
      <c r="J304" s="38"/>
      <c r="K304" s="38" t="s">
        <v>8</v>
      </c>
      <c r="L304" s="100" t="str">
        <f>D304</f>
        <v>15-27</v>
      </c>
      <c r="M304" s="100" t="str">
        <f t="shared" ref="M304:P304" si="37">E304</f>
        <v>27-39</v>
      </c>
      <c r="N304" s="100" t="str">
        <f t="shared" si="37"/>
        <v>39-51</v>
      </c>
      <c r="O304" s="100" t="str">
        <f t="shared" si="37"/>
        <v>51-63</v>
      </c>
      <c r="P304" s="100" t="str">
        <f t="shared" si="37"/>
        <v>63-75</v>
      </c>
    </row>
    <row r="305" spans="1:16" s="283" customFormat="1" ht="4.5" customHeight="1">
      <c r="K305" s="389"/>
      <c r="L305" s="389"/>
      <c r="M305" s="389"/>
      <c r="N305" s="389"/>
      <c r="O305" s="389"/>
      <c r="P305" s="389"/>
    </row>
    <row r="306" spans="1:16" s="283" customFormat="1" ht="12.75">
      <c r="C306" s="285">
        <v>2011</v>
      </c>
      <c r="D306" s="215"/>
      <c r="E306" s="215"/>
      <c r="F306" s="215"/>
      <c r="G306" s="215"/>
      <c r="H306" s="215">
        <f t="shared" ref="H306" si="38">H268/H293-1</f>
        <v>-1.2085678727894344E-2</v>
      </c>
      <c r="J306" s="210"/>
      <c r="K306" s="392">
        <f>C306</f>
        <v>2011</v>
      </c>
      <c r="L306" s="392"/>
      <c r="M306" s="213"/>
      <c r="N306" s="213"/>
      <c r="O306" s="213"/>
      <c r="P306" s="213">
        <f>'Exhibit 2.6.1'!F50</f>
        <v>1.085</v>
      </c>
    </row>
    <row r="307" spans="1:16" s="283" customFormat="1" ht="12.75">
      <c r="C307" s="285">
        <v>2012</v>
      </c>
      <c r="D307" s="215"/>
      <c r="E307" s="215"/>
      <c r="F307" s="215"/>
      <c r="G307" s="215">
        <f t="shared" ref="G307:H307" si="39">G269/G294-1</f>
        <v>-1.7835228385778334E-2</v>
      </c>
      <c r="H307" s="215">
        <f t="shared" si="39"/>
        <v>-9.9579374456325587E-3</v>
      </c>
      <c r="J307" s="210"/>
      <c r="K307" s="392">
        <f t="shared" ref="K307:K312" si="40">C307</f>
        <v>2012</v>
      </c>
      <c r="L307" s="392"/>
      <c r="M307" s="213"/>
      <c r="N307" s="213"/>
      <c r="O307" s="213">
        <f>'Exhibit 2.6.1'!E51</f>
        <v>1.133</v>
      </c>
      <c r="P307" s="213">
        <f>'Exhibit 2.6.1'!F51</f>
        <v>1.0820000000000001</v>
      </c>
    </row>
    <row r="308" spans="1:16" s="283" customFormat="1" ht="12.75">
      <c r="C308" s="285">
        <v>2013</v>
      </c>
      <c r="D308" s="215"/>
      <c r="E308" s="215"/>
      <c r="F308" s="215">
        <f t="shared" ref="F308:G308" si="41">F270/F295-1</f>
        <v>-1.448332032975741E-2</v>
      </c>
      <c r="G308" s="215">
        <f t="shared" si="41"/>
        <v>-1.4801802890112792E-2</v>
      </c>
      <c r="H308" s="215">
        <f>H270/H295-1</f>
        <v>-7.2364190894090852E-3</v>
      </c>
      <c r="J308" s="210"/>
      <c r="K308" s="392">
        <f t="shared" si="40"/>
        <v>2013</v>
      </c>
      <c r="L308" s="392"/>
      <c r="M308" s="213"/>
      <c r="N308" s="213">
        <f>'Exhibit 2.6.1'!D52</f>
        <v>1.2130000000000001</v>
      </c>
      <c r="O308" s="213">
        <f>'Exhibit 2.6.1'!E52</f>
        <v>1.119</v>
      </c>
      <c r="P308" s="213">
        <f>'Exhibit 2.6.1'!F52</f>
        <v>1.0740000000000001</v>
      </c>
    </row>
    <row r="309" spans="1:16" s="283" customFormat="1" ht="12.75">
      <c r="C309" s="285">
        <v>2014</v>
      </c>
      <c r="D309" s="215"/>
      <c r="E309" s="215">
        <f t="shared" ref="D309:E311" si="42">E271/E296-1</f>
        <v>-6.5857961298966261E-3</v>
      </c>
      <c r="F309" s="215">
        <f t="shared" ref="F309" si="43">F271/F296-1</f>
        <v>-1.612307953906067E-2</v>
      </c>
      <c r="G309" s="215">
        <f>G271/G296-1</f>
        <v>-1.3567817579323238E-2</v>
      </c>
      <c r="H309" s="215"/>
      <c r="J309" s="210"/>
      <c r="K309" s="392">
        <f t="shared" si="40"/>
        <v>2014</v>
      </c>
      <c r="L309" s="392"/>
      <c r="M309" s="213">
        <f>'Exhibit 2.6.1'!C53</f>
        <v>1.3919999999999999</v>
      </c>
      <c r="N309" s="213">
        <f>'Exhibit 2.6.1'!D53</f>
        <v>1.2030000000000001</v>
      </c>
      <c r="O309" s="213">
        <f>'Exhibit 2.6.1'!E53</f>
        <v>1.1120000000000001</v>
      </c>
      <c r="P309" s="213"/>
    </row>
    <row r="310" spans="1:16" s="283" customFormat="1" ht="12.75">
      <c r="C310" s="285">
        <v>2015</v>
      </c>
      <c r="D310" s="215">
        <f t="shared" si="42"/>
        <v>1.4153212067318011E-2</v>
      </c>
      <c r="E310" s="215">
        <f t="shared" si="42"/>
        <v>-8.7432930142186116E-3</v>
      </c>
      <c r="F310" s="215">
        <f>F272/F297-1</f>
        <v>-1.4417756628676059E-2</v>
      </c>
      <c r="G310" s="215"/>
      <c r="H310" s="215"/>
      <c r="J310" s="210"/>
      <c r="K310" s="392">
        <f t="shared" si="40"/>
        <v>2015</v>
      </c>
      <c r="L310" s="213">
        <f>'Exhibit 2.6.1'!B54</f>
        <v>1.9590000000000001</v>
      </c>
      <c r="M310" s="213">
        <f>'Exhibit 2.6.1'!C54</f>
        <v>1.365</v>
      </c>
      <c r="N310" s="213">
        <f>'Exhibit 2.6.1'!D54</f>
        <v>1.19</v>
      </c>
      <c r="O310" s="213"/>
      <c r="P310" s="213"/>
    </row>
    <row r="311" spans="1:16" s="283" customFormat="1" ht="12.75">
      <c r="C311" s="285">
        <v>2016</v>
      </c>
      <c r="D311" s="215">
        <f t="shared" si="42"/>
        <v>5.8154673962991232E-3</v>
      </c>
      <c r="E311" s="215">
        <f>E273/E298-1</f>
        <v>-9.7735523554036696E-3</v>
      </c>
      <c r="F311" s="215"/>
      <c r="G311" s="215"/>
      <c r="H311" s="215"/>
      <c r="J311" s="210"/>
      <c r="K311" s="392">
        <f t="shared" si="40"/>
        <v>2016</v>
      </c>
      <c r="L311" s="213">
        <f>'Exhibit 2.6.1'!B55</f>
        <v>1.8819999999999999</v>
      </c>
      <c r="M311" s="213">
        <f>'Exhibit 2.6.1'!C55</f>
        <v>1.3440000000000001</v>
      </c>
      <c r="N311" s="213"/>
      <c r="O311" s="213"/>
      <c r="P311" s="213"/>
    </row>
    <row r="312" spans="1:16" s="283" customFormat="1" ht="12.75">
      <c r="C312" s="285">
        <v>2017</v>
      </c>
      <c r="D312" s="215">
        <f>D274/D299-1</f>
        <v>-4.9829900061870713E-4</v>
      </c>
      <c r="E312" s="215"/>
      <c r="F312" s="215"/>
      <c r="G312" s="215"/>
      <c r="H312" s="215"/>
      <c r="J312" s="210"/>
      <c r="K312" s="392">
        <f t="shared" si="40"/>
        <v>2017</v>
      </c>
      <c r="L312" s="213">
        <f>'Exhibit 2.6.1'!B56</f>
        <v>1.8440000000000001</v>
      </c>
      <c r="M312" s="213"/>
      <c r="N312" s="213"/>
      <c r="O312" s="213"/>
      <c r="P312" s="213"/>
    </row>
    <row r="313" spans="1:16" s="283" customFormat="1" ht="12.75">
      <c r="C313" s="285"/>
      <c r="E313" s="215"/>
      <c r="F313" s="215"/>
      <c r="G313" s="215"/>
      <c r="H313" s="215"/>
      <c r="J313" s="210"/>
      <c r="K313" s="389"/>
      <c r="L313" s="389"/>
      <c r="M313" s="389"/>
      <c r="N313" s="389"/>
      <c r="O313" s="389"/>
      <c r="P313" s="389"/>
    </row>
    <row r="314" spans="1:16" s="283" customFormat="1" ht="24" customHeight="1">
      <c r="A314" s="558" t="s">
        <v>370</v>
      </c>
      <c r="B314" s="558"/>
      <c r="C314" s="558"/>
      <c r="D314" s="558"/>
      <c r="E314" s="558"/>
      <c r="F314" s="558"/>
      <c r="G314" s="558"/>
      <c r="H314" s="558"/>
      <c r="I314" s="280"/>
      <c r="J314" s="280"/>
    </row>
    <row r="315" spans="1:16" s="283" customFormat="1" ht="12.75"/>
    <row r="316" spans="1:16" s="283" customFormat="1" ht="12.75">
      <c r="C316" s="285" t="s">
        <v>218</v>
      </c>
      <c r="D316" s="546"/>
      <c r="E316" s="546"/>
      <c r="F316" s="546"/>
      <c r="G316" s="546"/>
      <c r="H316" s="546"/>
    </row>
    <row r="317" spans="1:16" s="283" customFormat="1" ht="12.75">
      <c r="C317" s="38" t="s">
        <v>8</v>
      </c>
      <c r="D317" s="100" t="s">
        <v>479</v>
      </c>
      <c r="E317" s="100" t="s">
        <v>480</v>
      </c>
      <c r="F317" s="100" t="s">
        <v>481</v>
      </c>
      <c r="G317" s="100" t="s">
        <v>482</v>
      </c>
      <c r="H317" s="100" t="s">
        <v>483</v>
      </c>
    </row>
    <row r="318" spans="1:16" s="283" customFormat="1" ht="4.5" customHeight="1"/>
    <row r="319" spans="1:16" s="283" customFormat="1" ht="12" customHeight="1">
      <c r="C319" s="285">
        <v>2011</v>
      </c>
      <c r="D319" s="216"/>
      <c r="E319" s="216"/>
      <c r="F319" s="216"/>
      <c r="G319" s="216"/>
      <c r="H319" s="216">
        <f t="shared" ref="D319:H324" si="44">(1+H306)*P306</f>
        <v>1.0718870385802346</v>
      </c>
    </row>
    <row r="320" spans="1:16" s="283" customFormat="1" ht="12.75">
      <c r="C320" s="285">
        <v>2012</v>
      </c>
      <c r="D320" s="216"/>
      <c r="E320" s="216"/>
      <c r="F320" s="216"/>
      <c r="G320" s="216">
        <f t="shared" si="44"/>
        <v>1.1127926862389133</v>
      </c>
      <c r="H320" s="216">
        <f t="shared" si="44"/>
        <v>1.0712255116838256</v>
      </c>
    </row>
    <row r="321" spans="1:12" s="283" customFormat="1" ht="12.75">
      <c r="C321" s="285">
        <v>2013</v>
      </c>
      <c r="D321" s="216"/>
      <c r="E321" s="216"/>
      <c r="F321" s="216">
        <f t="shared" si="44"/>
        <v>1.1954317324400043</v>
      </c>
      <c r="G321" s="216">
        <f t="shared" si="44"/>
        <v>1.1024367825659638</v>
      </c>
      <c r="H321" s="216">
        <f>(1+H308)*P308</f>
        <v>1.0662280858979747</v>
      </c>
    </row>
    <row r="322" spans="1:12" s="283" customFormat="1" ht="12.75">
      <c r="C322" s="285">
        <v>2014</v>
      </c>
      <c r="D322" s="216"/>
      <c r="E322" s="216">
        <f t="shared" si="44"/>
        <v>1.3828325717871839</v>
      </c>
      <c r="F322" s="216">
        <f t="shared" si="44"/>
        <v>1.18360393531451</v>
      </c>
      <c r="G322" s="216">
        <f>(1+G309)*O309</f>
        <v>1.0969125868517926</v>
      </c>
      <c r="H322" s="216"/>
    </row>
    <row r="323" spans="1:12" s="283" customFormat="1" ht="12.75">
      <c r="C323" s="285">
        <v>2015</v>
      </c>
      <c r="D323" s="216">
        <f t="shared" si="44"/>
        <v>1.9867261424398761</v>
      </c>
      <c r="E323" s="216">
        <f t="shared" si="44"/>
        <v>1.3530654050355917</v>
      </c>
      <c r="F323" s="216">
        <f>(1+F310)*N310</f>
        <v>1.1728428696118753</v>
      </c>
      <c r="G323" s="216"/>
      <c r="H323" s="216"/>
    </row>
    <row r="324" spans="1:12" s="283" customFormat="1" ht="12.75">
      <c r="C324" s="285">
        <v>2016</v>
      </c>
      <c r="D324" s="216">
        <f t="shared" si="44"/>
        <v>1.8929447096398349</v>
      </c>
      <c r="E324" s="216">
        <f>(1+E311)*M311</f>
        <v>1.3308643456343376</v>
      </c>
      <c r="F324" s="216"/>
      <c r="G324" s="216"/>
      <c r="H324" s="216"/>
    </row>
    <row r="325" spans="1:12" s="283" customFormat="1" ht="12.75">
      <c r="C325" s="285">
        <v>2017</v>
      </c>
      <c r="D325" s="216">
        <f>(1+D312)*L312</f>
        <v>1.8430811366428592</v>
      </c>
      <c r="E325" s="216"/>
      <c r="F325" s="216"/>
      <c r="G325" s="216"/>
      <c r="H325" s="216"/>
    </row>
    <row r="326" spans="1:12" s="283" customFormat="1" ht="12.75">
      <c r="C326" s="285"/>
      <c r="D326" s="216"/>
    </row>
    <row r="327" spans="1:12" s="283" customFormat="1" ht="12.75">
      <c r="C327" s="283" t="s">
        <v>301</v>
      </c>
      <c r="D327" s="213">
        <f>D325</f>
        <v>1.8430811366428592</v>
      </c>
      <c r="E327" s="213">
        <f>E324</f>
        <v>1.3308643456343376</v>
      </c>
      <c r="F327" s="213">
        <f>F323</f>
        <v>1.1728428696118753</v>
      </c>
      <c r="G327" s="213">
        <f>G322</f>
        <v>1.0969125868517926</v>
      </c>
      <c r="H327" s="213">
        <f>H321</f>
        <v>1.0662280858979747</v>
      </c>
    </row>
    <row r="328" spans="1:12" s="283" customFormat="1" ht="12.75">
      <c r="C328" s="283" t="s">
        <v>316</v>
      </c>
      <c r="D328" s="213">
        <f>AVERAGE(D323:D325)</f>
        <v>1.9075839962408567</v>
      </c>
      <c r="E328" s="213">
        <f>AVERAGE(E322:E324)</f>
        <v>1.3555874408190378</v>
      </c>
      <c r="F328" s="213">
        <f>AVERAGE(F321:F323)</f>
        <v>1.1839595124554634</v>
      </c>
      <c r="G328" s="213">
        <f>AVERAGE(G320:G322)</f>
        <v>1.1040473518855565</v>
      </c>
      <c r="H328" s="213">
        <f>AVERAGE(H319:H321)</f>
        <v>1.0697802120540116</v>
      </c>
    </row>
    <row r="329" spans="1:12" s="283" customFormat="1" ht="12.75">
      <c r="D329" s="213"/>
      <c r="E329" s="213"/>
      <c r="F329" s="213"/>
      <c r="G329" s="213"/>
      <c r="H329" s="213"/>
    </row>
    <row r="330" spans="1:12" s="283" customFormat="1" ht="39" customHeight="1">
      <c r="A330" s="212" t="s">
        <v>107</v>
      </c>
      <c r="B330" s="533" t="s">
        <v>333</v>
      </c>
      <c r="C330" s="533"/>
      <c r="D330" s="533"/>
      <c r="E330" s="533"/>
      <c r="F330" s="533"/>
      <c r="G330" s="533"/>
      <c r="H330" s="533"/>
      <c r="I330" s="533"/>
    </row>
    <row r="331" spans="1:12" s="283" customFormat="1" ht="25.5" customHeight="1">
      <c r="A331" s="212" t="s">
        <v>319</v>
      </c>
      <c r="B331" s="533" t="s">
        <v>334</v>
      </c>
      <c r="C331" s="533"/>
      <c r="D331" s="533"/>
      <c r="E331" s="533"/>
      <c r="F331" s="533"/>
      <c r="G331" s="533"/>
      <c r="H331" s="533"/>
      <c r="I331" s="533"/>
    </row>
    <row r="332" spans="1:12" s="283" customFormat="1" ht="28.5" customHeight="1">
      <c r="A332" s="212" t="s">
        <v>321</v>
      </c>
      <c r="B332" s="533" t="s">
        <v>342</v>
      </c>
      <c r="C332" s="533"/>
      <c r="D332" s="533"/>
      <c r="E332" s="533"/>
      <c r="F332" s="533"/>
      <c r="G332" s="533"/>
      <c r="H332" s="533"/>
      <c r="I332" s="533"/>
    </row>
    <row r="333" spans="1:12" s="283" customFormat="1" ht="12.75">
      <c r="A333" s="286"/>
      <c r="B333" s="286"/>
      <c r="C333" s="286"/>
      <c r="D333" s="217"/>
      <c r="E333" s="217"/>
      <c r="F333" s="217"/>
      <c r="G333" s="217"/>
      <c r="H333" s="217"/>
      <c r="I333" s="286"/>
      <c r="J333" s="286"/>
      <c r="K333" s="286"/>
      <c r="L333" s="286"/>
    </row>
    <row r="334" spans="1:12" s="283" customFormat="1" ht="12.75">
      <c r="A334" s="286" t="s">
        <v>326</v>
      </c>
      <c r="B334" s="286"/>
      <c r="C334" s="79"/>
      <c r="D334" s="80"/>
      <c r="E334" s="80"/>
      <c r="F334" s="80"/>
      <c r="G334" s="80"/>
      <c r="H334" s="80"/>
      <c r="I334" s="286"/>
      <c r="J334" s="286"/>
      <c r="K334" s="286"/>
      <c r="L334" s="286"/>
    </row>
  </sheetData>
  <mergeCells count="74">
    <mergeCell ref="D122:I122"/>
    <mergeCell ref="A135:I135"/>
    <mergeCell ref="D137:I137"/>
    <mergeCell ref="A150:I150"/>
    <mergeCell ref="D152:I152"/>
    <mergeCell ref="B225:J225"/>
    <mergeCell ref="B165:I165"/>
    <mergeCell ref="B166:I166"/>
    <mergeCell ref="B167:I167"/>
    <mergeCell ref="B168:I168"/>
    <mergeCell ref="D303:H303"/>
    <mergeCell ref="A314:H314"/>
    <mergeCell ref="A173:I173"/>
    <mergeCell ref="B221:I221"/>
    <mergeCell ref="B222:I222"/>
    <mergeCell ref="B223:I223"/>
    <mergeCell ref="A192:J192"/>
    <mergeCell ref="D194:I194"/>
    <mergeCell ref="A191:J191"/>
    <mergeCell ref="A230:I230"/>
    <mergeCell ref="A233:I233"/>
    <mergeCell ref="D235:I235"/>
    <mergeCell ref="A248:I248"/>
    <mergeCell ref="A176:J176"/>
    <mergeCell ref="A206:I206"/>
    <mergeCell ref="D208:I208"/>
    <mergeCell ref="A172:I172"/>
    <mergeCell ref="B330:I330"/>
    <mergeCell ref="B331:I331"/>
    <mergeCell ref="B332:I332"/>
    <mergeCell ref="D250:I250"/>
    <mergeCell ref="B278:I278"/>
    <mergeCell ref="B280:I280"/>
    <mergeCell ref="A283:I283"/>
    <mergeCell ref="A284:I284"/>
    <mergeCell ref="A263:I263"/>
    <mergeCell ref="D265:H265"/>
    <mergeCell ref="A285:I285"/>
    <mergeCell ref="D316:H316"/>
    <mergeCell ref="A288:H288"/>
    <mergeCell ref="D290:H290"/>
    <mergeCell ref="A301:H301"/>
    <mergeCell ref="B56:I56"/>
    <mergeCell ref="A228:I228"/>
    <mergeCell ref="A229:I229"/>
    <mergeCell ref="D178:I178"/>
    <mergeCell ref="A171:I171"/>
    <mergeCell ref="A79:J79"/>
    <mergeCell ref="B112:J112"/>
    <mergeCell ref="A120:I120"/>
    <mergeCell ref="D81:I81"/>
    <mergeCell ref="A94:I94"/>
    <mergeCell ref="D96:I96"/>
    <mergeCell ref="B109:I109"/>
    <mergeCell ref="B110:I110"/>
    <mergeCell ref="A115:I115"/>
    <mergeCell ref="A116:I116"/>
    <mergeCell ref="A117:I117"/>
    <mergeCell ref="M81:R81"/>
    <mergeCell ref="L303:P303"/>
    <mergeCell ref="A64:I64"/>
    <mergeCell ref="D66:I66"/>
    <mergeCell ref="A1:I1"/>
    <mergeCell ref="A2:I2"/>
    <mergeCell ref="A3:I3"/>
    <mergeCell ref="A6:I6"/>
    <mergeCell ref="D8:I8"/>
    <mergeCell ref="A60:I60"/>
    <mergeCell ref="A61:I61"/>
    <mergeCell ref="A59:I59"/>
    <mergeCell ref="A21:I21"/>
    <mergeCell ref="D23:I23"/>
    <mergeCell ref="A41:I41"/>
    <mergeCell ref="D43:I43"/>
  </mergeCells>
  <printOptions horizontalCentered="1"/>
  <pageMargins left="0.7" right="0.7" top="0.75" bottom="0.75" header="0.3" footer="0.3"/>
  <pageSetup scale="79" orientation="portrait" r:id="rId1"/>
  <rowBreaks count="5" manualBreakCount="5">
    <brk id="57" max="16383" man="1"/>
    <brk id="113" max="9" man="1"/>
    <brk id="169" max="16383" man="1"/>
    <brk id="226" max="16383" man="1"/>
    <brk id="281" max="16383" man="1"/>
  </rowBreaks>
  <colBreaks count="1" manualBreakCount="1">
    <brk id="10"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V46"/>
  <sheetViews>
    <sheetView workbookViewId="0">
      <selection sqref="A1:H1"/>
    </sheetView>
  </sheetViews>
  <sheetFormatPr defaultColWidth="9.140625" defaultRowHeight="12.75"/>
  <cols>
    <col min="1" max="1" width="8.5703125" style="136" customWidth="1"/>
    <col min="2" max="2" width="11.7109375" style="136" customWidth="1"/>
    <col min="3" max="3" width="12" style="136" customWidth="1"/>
    <col min="4" max="5" width="11.7109375" style="136" customWidth="1"/>
    <col min="6" max="6" width="13.85546875" style="136" hidden="1" customWidth="1"/>
    <col min="7" max="7" width="11.85546875" style="136" customWidth="1"/>
    <col min="8" max="8" width="8.5703125" style="136" customWidth="1"/>
    <col min="9" max="16384" width="9.140625" style="136"/>
  </cols>
  <sheetData>
    <row r="1" spans="1:22">
      <c r="A1" s="547" t="s">
        <v>45</v>
      </c>
      <c r="B1" s="547"/>
      <c r="C1" s="547"/>
      <c r="D1" s="547"/>
      <c r="E1" s="547"/>
      <c r="F1" s="547"/>
      <c r="G1" s="547"/>
      <c r="H1" s="547"/>
    </row>
    <row r="2" spans="1:22">
      <c r="B2" s="547" t="s">
        <v>348</v>
      </c>
      <c r="C2" s="547"/>
      <c r="D2" s="547"/>
      <c r="E2" s="547"/>
      <c r="F2" s="547"/>
      <c r="G2" s="547"/>
    </row>
    <row r="3" spans="1:22">
      <c r="B3" s="547" t="s">
        <v>489</v>
      </c>
      <c r="C3" s="547"/>
      <c r="D3" s="547"/>
      <c r="E3" s="547"/>
      <c r="F3" s="547"/>
      <c r="G3" s="547"/>
    </row>
    <row r="4" spans="1:22">
      <c r="B4" s="158"/>
      <c r="C4" s="37"/>
      <c r="D4" s="37"/>
      <c r="E4" s="37"/>
      <c r="F4" s="37"/>
      <c r="G4" s="37"/>
    </row>
    <row r="5" spans="1:22">
      <c r="B5" s="158"/>
      <c r="C5" s="158"/>
      <c r="D5" s="546" t="s">
        <v>46</v>
      </c>
      <c r="E5" s="546"/>
      <c r="F5" s="546"/>
      <c r="G5" s="158"/>
    </row>
    <row r="6" spans="1:22">
      <c r="B6" s="38"/>
      <c r="C6" s="38"/>
      <c r="D6" s="38"/>
      <c r="E6" s="559"/>
      <c r="F6" s="559"/>
      <c r="G6" s="38"/>
    </row>
    <row r="7" spans="1:22">
      <c r="B7" s="38"/>
      <c r="C7" s="39" t="s">
        <v>47</v>
      </c>
      <c r="D7" s="39" t="s">
        <v>48</v>
      </c>
      <c r="E7" s="39" t="s">
        <v>49</v>
      </c>
      <c r="F7" s="39" t="s">
        <v>50</v>
      </c>
      <c r="G7" s="39" t="s">
        <v>50</v>
      </c>
    </row>
    <row r="8" spans="1:22" ht="38.25">
      <c r="B8" s="383" t="s">
        <v>420</v>
      </c>
      <c r="C8" s="40" t="s">
        <v>51</v>
      </c>
      <c r="D8" s="38" t="s">
        <v>52</v>
      </c>
      <c r="E8" s="370" t="s">
        <v>21</v>
      </c>
      <c r="F8" s="40" t="s">
        <v>53</v>
      </c>
      <c r="G8" s="40" t="s">
        <v>393</v>
      </c>
    </row>
    <row r="9" spans="1:22">
      <c r="B9" s="41"/>
      <c r="C9" s="46"/>
      <c r="D9" s="43"/>
      <c r="E9" s="44"/>
      <c r="F9" s="44"/>
      <c r="G9" s="39" t="s">
        <v>394</v>
      </c>
    </row>
    <row r="10" spans="1:22" hidden="1">
      <c r="B10" s="41">
        <v>1985</v>
      </c>
      <c r="C10" s="46">
        <v>0.44707331378426252</v>
      </c>
      <c r="D10" s="46" t="e">
        <v>#N/A</v>
      </c>
      <c r="E10" s="46" t="e">
        <v>#N/A</v>
      </c>
      <c r="F10" s="46">
        <v>0</v>
      </c>
      <c r="G10" s="46" t="e">
        <v>#N/A</v>
      </c>
      <c r="H10" s="145"/>
      <c r="I10" s="145"/>
      <c r="J10" s="145"/>
      <c r="K10" s="145"/>
      <c r="L10" s="145"/>
      <c r="M10" s="145"/>
      <c r="N10" s="145"/>
      <c r="O10" s="145"/>
      <c r="P10" s="145"/>
      <c r="Q10" s="145"/>
      <c r="R10" s="145"/>
      <c r="S10" s="145"/>
      <c r="T10" s="145"/>
      <c r="U10" s="145"/>
      <c r="V10" s="145"/>
    </row>
    <row r="11" spans="1:22">
      <c r="B11" s="41">
        <v>1986</v>
      </c>
      <c r="C11" s="46">
        <f>('Exhibit 1'!D9+'Exhibit 1'!C9)/'Exhibit 1'!B9</f>
        <v>0.39577053775036164</v>
      </c>
      <c r="D11" s="46">
        <f ca="1">OFFSET('Exhibit 2.5.2'!$B$25,0,COUNTA(B11:B$23)-1)</f>
        <v>1.0006666666666666</v>
      </c>
      <c r="E11" s="46">
        <f ca="1">OFFSET('Exhibit 2.5.2'!$B$26,0,COUNTA(B11:B$23)-1)</f>
        <v>1.0046693333333332</v>
      </c>
      <c r="F11" s="46"/>
      <c r="G11" s="46">
        <f ca="1">C11*E11</f>
        <v>0.39761852231463063</v>
      </c>
      <c r="H11" s="145"/>
      <c r="I11" s="145"/>
      <c r="J11" s="145"/>
      <c r="K11" s="145"/>
      <c r="L11" s="145"/>
      <c r="M11" s="145"/>
    </row>
    <row r="12" spans="1:22">
      <c r="B12" s="41">
        <v>1987</v>
      </c>
      <c r="C12" s="46">
        <f>('Exhibit 1'!D10+'Exhibit 1'!C10)/'Exhibit 1'!B10</f>
        <v>0.34568435995251351</v>
      </c>
      <c r="D12" s="46">
        <f ca="1">OFFSET('Exhibit 2.5.2'!$B$25,0,COUNTA(B12:B$23)-1)</f>
        <v>1.0002499999999999</v>
      </c>
      <c r="E12" s="46">
        <f ca="1">OFFSET('Exhibit 2.5.2'!$B$26,0,COUNTA(B12:B$23)-1)</f>
        <v>1.0049205006666664</v>
      </c>
      <c r="F12" s="46"/>
      <c r="G12" s="46">
        <f t="shared" ref="G12:G43" ca="1" si="0">C12*E12</f>
        <v>0.34738530007611601</v>
      </c>
      <c r="H12" s="145"/>
      <c r="I12" s="145"/>
      <c r="J12" s="145"/>
      <c r="K12" s="145"/>
      <c r="L12" s="145"/>
      <c r="M12" s="145"/>
    </row>
    <row r="13" spans="1:22">
      <c r="B13" s="41">
        <v>1988</v>
      </c>
      <c r="C13" s="46">
        <f>('Exhibit 1'!D11+'Exhibit 1'!C11)/'Exhibit 1'!B11</f>
        <v>0.33042388851138366</v>
      </c>
      <c r="D13" s="46">
        <f ca="1">OFFSET('Exhibit 2.5.2'!$B$25,0,COUNTA(B13:B$23)-1)</f>
        <v>1</v>
      </c>
      <c r="E13" s="46">
        <f ca="1">OFFSET('Exhibit 2.5.2'!$B$26,0,COUNTA(B13:B$23)-1)</f>
        <v>1.0049205006666664</v>
      </c>
      <c r="F13" s="46"/>
      <c r="G13" s="46">
        <f t="shared" ca="1" si="0"/>
        <v>0.33204973947508643</v>
      </c>
      <c r="H13" s="145"/>
      <c r="I13" s="145"/>
      <c r="J13" s="145"/>
      <c r="K13" s="145"/>
      <c r="L13" s="145"/>
      <c r="M13" s="145"/>
    </row>
    <row r="14" spans="1:22">
      <c r="B14" s="41">
        <v>1989</v>
      </c>
      <c r="C14" s="46">
        <f>('Exhibit 1'!D12+'Exhibit 1'!C12)/'Exhibit 1'!B12</f>
        <v>0.34321755778147728</v>
      </c>
      <c r="D14" s="46">
        <f ca="1">OFFSET('Exhibit 2.5.2'!$B$25,0,COUNTA(B14:B$23)-1)</f>
        <v>1.0001666666666666</v>
      </c>
      <c r="E14" s="46">
        <f ca="1">OFFSET('Exhibit 2.5.2'!$B$26,0,COUNTA(B14:B$23)-1)</f>
        <v>1.0050879874167775</v>
      </c>
      <c r="F14" s="46"/>
      <c r="G14" s="46">
        <f t="shared" ca="1" si="0"/>
        <v>0.34496384439668654</v>
      </c>
      <c r="H14" s="145"/>
      <c r="I14" s="145"/>
      <c r="J14" s="145"/>
      <c r="K14" s="145"/>
      <c r="L14" s="145"/>
      <c r="M14" s="145"/>
    </row>
    <row r="15" spans="1:22">
      <c r="B15" s="41">
        <v>1990</v>
      </c>
      <c r="C15" s="46">
        <f>('Exhibit 1'!D13+'Exhibit 1'!C13)/'Exhibit 1'!B13</f>
        <v>0.39754142730697756</v>
      </c>
      <c r="D15" s="46">
        <f ca="1">OFFSET('Exhibit 2.5.2'!$B$25,0,COUNTA(B15:B$23)-1)</f>
        <v>1.0003333333333331</v>
      </c>
      <c r="E15" s="46">
        <f ca="1">OFFSET('Exhibit 2.5.2'!$B$26,0,COUNTA(B15:B$23)-1)</f>
        <v>1.0054230167459162</v>
      </c>
      <c r="F15" s="46"/>
      <c r="G15" s="46">
        <f t="shared" ca="1" si="0"/>
        <v>0.39969730112445873</v>
      </c>
      <c r="H15" s="145"/>
      <c r="I15" s="145"/>
      <c r="J15" s="145"/>
      <c r="K15" s="145"/>
      <c r="L15" s="145"/>
      <c r="M15" s="145"/>
    </row>
    <row r="16" spans="1:22">
      <c r="B16" s="41">
        <v>1991</v>
      </c>
      <c r="C16" s="46">
        <f>('Exhibit 1'!D14+'Exhibit 1'!C14)/'Exhibit 1'!B14</f>
        <v>0.42472796049361144</v>
      </c>
      <c r="D16" s="46">
        <f ca="1">OFFSET('Exhibit 2.5.2'!$B$25,0,COUNTA(B16:B$23)-1)</f>
        <v>1.0004999999999999</v>
      </c>
      <c r="E16" s="46">
        <f ca="1">OFFSET('Exhibit 2.5.2'!$B$26,0,COUNTA(B16:B$23)-1)</f>
        <v>1.0059257282542891</v>
      </c>
      <c r="F16" s="46"/>
      <c r="G16" s="46">
        <f t="shared" ca="1" si="0"/>
        <v>0.42724478296949503</v>
      </c>
      <c r="H16" s="145"/>
      <c r="I16" s="145"/>
      <c r="J16" s="145"/>
      <c r="K16" s="145"/>
      <c r="L16" s="145"/>
      <c r="M16" s="145"/>
    </row>
    <row r="17" spans="2:13">
      <c r="B17" s="41">
        <v>1992</v>
      </c>
      <c r="C17" s="46">
        <f>('Exhibit 1'!D15+'Exhibit 1'!C15)/'Exhibit 1'!B15</f>
        <v>0.34971814817755104</v>
      </c>
      <c r="D17" s="46">
        <f ca="1">OFFSET('Exhibit 2.5.2'!$B$25,0,COUNTA(B17:B$23)-1)</f>
        <v>1.0004999999999999</v>
      </c>
      <c r="E17" s="46">
        <f ca="1">OFFSET('Exhibit 2.5.2'!$B$26,0,COUNTA(B17:B$23)-1)</f>
        <v>1.0064286911184162</v>
      </c>
      <c r="F17" s="46"/>
      <c r="G17" s="46">
        <f t="shared" ca="1" si="0"/>
        <v>0.35196637813068898</v>
      </c>
      <c r="H17" s="145"/>
      <c r="I17" s="145"/>
      <c r="J17" s="145"/>
      <c r="K17" s="145"/>
      <c r="L17" s="145"/>
      <c r="M17" s="145"/>
    </row>
    <row r="18" spans="2:13">
      <c r="B18" s="41">
        <v>1993</v>
      </c>
      <c r="C18" s="46">
        <f>('Exhibit 1'!D16+'Exhibit 1'!C16)/'Exhibit 1'!B16</f>
        <v>0.28745058716187583</v>
      </c>
      <c r="D18" s="46">
        <f ca="1">OFFSET('Exhibit 2.5.2'!$B$25,0,COUNTA(B18:B$23)-1)</f>
        <v>1.0001666666666666</v>
      </c>
      <c r="E18" s="46">
        <f ca="1">OFFSET('Exhibit 2.5.2'!$B$26,0,COUNTA(B18:B$23)-1)</f>
        <v>1.0065964292336025</v>
      </c>
      <c r="F18" s="46"/>
      <c r="G18" s="46">
        <f t="shared" ca="1" si="0"/>
        <v>0.28934673461824661</v>
      </c>
      <c r="H18" s="145"/>
      <c r="I18" s="145"/>
      <c r="J18" s="145"/>
      <c r="K18" s="145"/>
      <c r="L18" s="145"/>
      <c r="M18" s="145"/>
    </row>
    <row r="19" spans="2:13">
      <c r="B19" s="41">
        <v>1994</v>
      </c>
      <c r="C19" s="46">
        <f>('Exhibit 1'!D17+'Exhibit 1'!C17)/'Exhibit 1'!B17</f>
        <v>0.32724686680795628</v>
      </c>
      <c r="D19" s="46">
        <f ca="1">OFFSET('Exhibit 2.5.2'!$B$25,0,COUNTA(B19:B$23)-1)</f>
        <v>1</v>
      </c>
      <c r="E19" s="46">
        <f ca="1">OFFSET('Exhibit 2.5.2'!$B$26,0,COUNTA(B19:B$23)-1)</f>
        <v>1.0065964292336025</v>
      </c>
      <c r="F19" s="46"/>
      <c r="G19" s="46">
        <f t="shared" ca="1" si="0"/>
        <v>0.32940552760677311</v>
      </c>
      <c r="H19" s="145"/>
      <c r="I19" s="145"/>
      <c r="J19" s="145"/>
      <c r="K19" s="145"/>
      <c r="L19" s="145"/>
      <c r="M19" s="145"/>
    </row>
    <row r="20" spans="2:13">
      <c r="B20" s="41">
        <v>1995</v>
      </c>
      <c r="C20" s="46">
        <f>('Exhibit 1'!D18+'Exhibit 1'!C18)/'Exhibit 1'!B18</f>
        <v>0.47245584394442242</v>
      </c>
      <c r="D20" s="46">
        <f ca="1">OFFSET('Exhibit 2.5.2'!$B$25,0,COUNTA(B20:B$23)-1)</f>
        <v>1.0001666666666666</v>
      </c>
      <c r="E20" s="46">
        <f ca="1">OFFSET('Exhibit 2.5.2'!$B$26,0,COUNTA(B20:B$23)-1)</f>
        <v>1.0067641953051414</v>
      </c>
      <c r="F20" s="46"/>
      <c r="G20" s="46">
        <f t="shared" ca="1" si="0"/>
        <v>0.47565162754591789</v>
      </c>
      <c r="H20" s="145"/>
      <c r="I20" s="145"/>
      <c r="J20" s="145"/>
      <c r="K20" s="145"/>
      <c r="L20" s="145"/>
      <c r="M20" s="145"/>
    </row>
    <row r="21" spans="2:13">
      <c r="B21" s="41">
        <v>1996</v>
      </c>
      <c r="C21" s="46">
        <f>('Exhibit 1'!D19+'Exhibit 1'!C19)/'Exhibit 1'!B19</f>
        <v>0.52985498116359264</v>
      </c>
      <c r="D21" s="46">
        <f ca="1">OFFSET('Exhibit 2.5.2'!$B$25,0,COUNTA(B21:B$23)-1)</f>
        <v>0.99983333333333324</v>
      </c>
      <c r="E21" s="46">
        <f ca="1">OFFSET('Exhibit 2.5.2'!$B$26,0,COUNTA(B21:B$23)-1)</f>
        <v>1.0065964012725905</v>
      </c>
      <c r="F21" s="46"/>
      <c r="G21" s="46">
        <f t="shared" ca="1" si="0"/>
        <v>0.53335011723562864</v>
      </c>
      <c r="H21" s="145"/>
      <c r="I21" s="145"/>
      <c r="J21" s="145"/>
      <c r="K21" s="145"/>
      <c r="L21" s="145"/>
      <c r="M21" s="145"/>
    </row>
    <row r="22" spans="2:13">
      <c r="B22" s="41">
        <v>1997</v>
      </c>
      <c r="C22" s="46">
        <f>('Exhibit 1'!D20+'Exhibit 1'!C20)/'Exhibit 1'!B20</f>
        <v>0.60000987675170792</v>
      </c>
      <c r="D22" s="46">
        <f ca="1">OFFSET('Exhibit 2.5.2'!$B$25,0,COUNTA(B22:B$23)-1)</f>
        <v>1.0004999999999999</v>
      </c>
      <c r="E22" s="46">
        <f ca="1">OFFSET('Exhibit 2.5.2'!$B$26,0,COUNTA(B22:B$23)-1)</f>
        <v>1.0070996994732269</v>
      </c>
      <c r="F22" s="46"/>
      <c r="G22" s="46">
        <f t="shared" ca="1" si="0"/>
        <v>0.60426976655761289</v>
      </c>
      <c r="H22" s="145"/>
      <c r="I22" s="145"/>
      <c r="J22" s="145"/>
      <c r="K22" s="145"/>
      <c r="L22" s="145"/>
      <c r="M22" s="145"/>
    </row>
    <row r="23" spans="2:13" ht="13.5" thickBot="1">
      <c r="B23" s="41">
        <v>1998</v>
      </c>
      <c r="C23" s="47">
        <f>('Exhibit 1'!D21+'Exhibit 1'!C21)/'Exhibit 1'!B21</f>
        <v>0.65142658549040833</v>
      </c>
      <c r="D23" s="47">
        <f ca="1">OFFSET('Exhibit 2.5.2'!$B$25,0,COUNTA(B23:B$23)-1)</f>
        <v>1.0008333333333332</v>
      </c>
      <c r="E23" s="47">
        <f ca="1">OFFSET('Exhibit 2.5.2'!$B$26,0,COUNTA(B23:B$23)-1)</f>
        <v>1.0079389492227877</v>
      </c>
      <c r="F23" s="47"/>
      <c r="G23" s="47">
        <f t="shared" ca="1" si="0"/>
        <v>0.65659822807499069</v>
      </c>
      <c r="H23" s="145"/>
      <c r="I23" s="145"/>
      <c r="J23" s="145"/>
      <c r="K23" s="145"/>
      <c r="L23" s="145"/>
      <c r="M23" s="145"/>
    </row>
    <row r="24" spans="2:13">
      <c r="B24" s="41">
        <v>1999</v>
      </c>
      <c r="C24" s="42">
        <f>'Exhibit 1'!C22/'Exhibit 1'!B22</f>
        <v>0.67016553130492407</v>
      </c>
      <c r="D24" s="42">
        <f ca="1">OFFSET('Exhibit 2.5.1'!$B$32,0,COUNTA(B24:B$43)-1)</f>
        <v>1.0026666666666666</v>
      </c>
      <c r="E24" s="42">
        <f ca="1">OFFSET('Exhibit 2.5.1'!$B$33,0,COUNTA(B24:B$43)-1)</f>
        <v>1.030839322149129</v>
      </c>
      <c r="F24" s="42"/>
      <c r="G24" s="42">
        <f t="shared" ca="1" si="0"/>
        <v>0.69083298201807886</v>
      </c>
      <c r="H24" s="145"/>
      <c r="I24" s="145"/>
      <c r="J24" s="145"/>
      <c r="K24" s="145"/>
      <c r="L24" s="145"/>
      <c r="M24" s="145"/>
    </row>
    <row r="25" spans="2:13">
      <c r="B25" s="41">
        <v>2000</v>
      </c>
      <c r="C25" s="42">
        <f>'Exhibit 1'!C23/'Exhibit 1'!B23</f>
        <v>0.5776811874812714</v>
      </c>
      <c r="D25" s="42">
        <f ca="1">OFFSET('Exhibit 2.5.1'!$B$32,0,COUNTA(B25:B$43)-1)</f>
        <v>1.0026666666666666</v>
      </c>
      <c r="E25" s="42">
        <f ca="1">OFFSET('Exhibit 2.5.1'!$B$33,0,COUNTA(B25:B$43)-1)</f>
        <v>1.0335882270081933</v>
      </c>
      <c r="F25" s="42"/>
      <c r="G25" s="42">
        <f t="shared" ca="1" si="0"/>
        <v>0.59708447434475498</v>
      </c>
      <c r="H25" s="145"/>
      <c r="I25" s="145"/>
      <c r="J25" s="145"/>
      <c r="K25" s="145"/>
      <c r="L25" s="145"/>
      <c r="M25" s="145"/>
    </row>
    <row r="26" spans="2:13">
      <c r="B26" s="41">
        <v>2001</v>
      </c>
      <c r="C26" s="42">
        <f>'Exhibit 1'!C24/'Exhibit 1'!B24</f>
        <v>0.47690635212748583</v>
      </c>
      <c r="D26" s="42">
        <f ca="1">OFFSET('Exhibit 2.5.1'!$B$32,0,COUNTA(B26:B$43)-1)</f>
        <v>1.0036666666666665</v>
      </c>
      <c r="E26" s="42">
        <f ca="1">OFFSET('Exhibit 2.5.1'!$B$33,0,COUNTA(B26:B$43)-1)</f>
        <v>1.0373780505072232</v>
      </c>
      <c r="F26" s="42"/>
      <c r="G26" s="42">
        <f t="shared" ca="1" si="0"/>
        <v>0.49473218184452256</v>
      </c>
      <c r="H26" s="145"/>
      <c r="I26" s="145"/>
      <c r="J26" s="145"/>
      <c r="K26" s="145"/>
      <c r="L26" s="145"/>
      <c r="M26" s="145"/>
    </row>
    <row r="27" spans="2:13">
      <c r="B27" s="41">
        <v>2002</v>
      </c>
      <c r="C27" s="42">
        <f>'Exhibit 1'!C25/'Exhibit 1'!B25</f>
        <v>0.35413068697217692</v>
      </c>
      <c r="D27" s="42">
        <f ca="1">OFFSET('Exhibit 2.5.1'!$B$32,0,COUNTA(B27:B$43)-1)</f>
        <v>1.0043333333333333</v>
      </c>
      <c r="E27" s="42">
        <f ca="1">OFFSET('Exhibit 2.5.1'!$B$33,0,COUNTA(B27:B$43)-1)</f>
        <v>1.0418733553927544</v>
      </c>
      <c r="F27" s="42"/>
      <c r="G27" s="42">
        <f t="shared" ca="1" si="0"/>
        <v>0.36895932708324314</v>
      </c>
      <c r="H27" s="145"/>
      <c r="I27" s="145"/>
      <c r="J27" s="145"/>
      <c r="K27" s="145"/>
      <c r="L27" s="145"/>
      <c r="M27" s="145"/>
    </row>
    <row r="28" spans="2:13">
      <c r="B28" s="41">
        <v>2003</v>
      </c>
      <c r="C28" s="42">
        <f>'Exhibit 1'!C26/'Exhibit 1'!B26</f>
        <v>0.2322911754610143</v>
      </c>
      <c r="D28" s="42">
        <f ca="1">OFFSET('Exhibit 2.5.1'!$B$32,0,COUNTA(B28:B$43)-1)</f>
        <v>1.0046666666666666</v>
      </c>
      <c r="E28" s="42">
        <f ca="1">OFFSET('Exhibit 2.5.1'!$B$33,0,COUNTA(B28:B$43)-1)</f>
        <v>1.0467354310512538</v>
      </c>
      <c r="F28" s="42"/>
      <c r="G28" s="42">
        <f t="shared" ca="1" si="0"/>
        <v>0.24314740367558724</v>
      </c>
      <c r="H28" s="145"/>
      <c r="I28" s="145"/>
      <c r="J28" s="145"/>
      <c r="K28" s="145"/>
      <c r="L28" s="145"/>
      <c r="M28" s="145"/>
    </row>
    <row r="29" spans="2:13">
      <c r="B29" s="41">
        <v>2004</v>
      </c>
      <c r="C29" s="42">
        <f>'Exhibit 1'!C27/'Exhibit 1'!B27</f>
        <v>0.13802344343144873</v>
      </c>
      <c r="D29" s="42">
        <f ca="1">OFFSET('Exhibit 2.5.1'!$B$32,0,COUNTA(B29:B$43)-1)</f>
        <v>1.006</v>
      </c>
      <c r="E29" s="42">
        <f ca="1">OFFSET('Exhibit 2.5.1'!$B$33,0,COUNTA(B29:B$43)-1)</f>
        <v>1.0530158436375614</v>
      </c>
      <c r="F29" s="42"/>
      <c r="G29" s="42">
        <f t="shared" ca="1" si="0"/>
        <v>0.14534087272672822</v>
      </c>
      <c r="H29" s="145"/>
      <c r="I29" s="145"/>
      <c r="J29" s="145"/>
      <c r="K29" s="145"/>
      <c r="L29" s="145"/>
      <c r="M29" s="145"/>
    </row>
    <row r="30" spans="2:13">
      <c r="B30" s="41">
        <v>2005</v>
      </c>
      <c r="C30" s="42">
        <f>'Exhibit 1'!C28/'Exhibit 1'!B28</f>
        <v>0.1173107389139298</v>
      </c>
      <c r="D30" s="42">
        <f ca="1">OFFSET('Exhibit 2.5.1'!$B$32,0,COUNTA(B30:B$43)-1)</f>
        <v>1.0073333333333334</v>
      </c>
      <c r="E30" s="42">
        <f ca="1">OFFSET('Exhibit 2.5.1'!$B$33,0,COUNTA(B30:B$43)-1)</f>
        <v>1.060737959824237</v>
      </c>
      <c r="F30" s="42"/>
      <c r="G30" s="42">
        <f t="shared" ca="1" si="0"/>
        <v>0.12443595386103563</v>
      </c>
      <c r="H30" s="145"/>
      <c r="I30" s="145"/>
      <c r="J30" s="145"/>
      <c r="K30" s="145"/>
      <c r="L30" s="145"/>
      <c r="M30" s="145"/>
    </row>
    <row r="31" spans="2:13">
      <c r="B31" s="41">
        <v>2006</v>
      </c>
      <c r="C31" s="42">
        <f>'Exhibit 1'!C29/'Exhibit 1'!B29</f>
        <v>0.15049170504946371</v>
      </c>
      <c r="D31" s="42">
        <f ca="1">OFFSET('Exhibit 2.5.1'!$B$32,0,COUNTA(B31:B$43)-1)</f>
        <v>1.0093333333333332</v>
      </c>
      <c r="E31" s="42">
        <f ca="1">OFFSET('Exhibit 2.5.1'!$B$33,0,COUNTA(B31:B$43)-1)</f>
        <v>1.0706381807825964</v>
      </c>
      <c r="F31" s="42"/>
      <c r="G31" s="42">
        <f t="shared" ca="1" si="0"/>
        <v>0.16112216531702891</v>
      </c>
      <c r="H31" s="145"/>
      <c r="I31" s="145"/>
      <c r="J31" s="145"/>
      <c r="K31" s="145"/>
      <c r="L31" s="145"/>
      <c r="M31" s="145"/>
    </row>
    <row r="32" spans="2:13">
      <c r="B32" s="41">
        <v>2007</v>
      </c>
      <c r="C32" s="42">
        <f>'Exhibit 1'!C30/'Exhibit 1'!B30</f>
        <v>0.20543433038076395</v>
      </c>
      <c r="D32" s="42">
        <f ca="1">OFFSET('Exhibit 2.5.1'!$B$32,0,COUNTA(B32:B$43)-1)</f>
        <v>1.0113333333333332</v>
      </c>
      <c r="E32" s="42">
        <f ca="1">OFFSET('Exhibit 2.5.1'!$B$33,0,COUNTA(B32:B$43)-1)</f>
        <v>1.0827720801647991</v>
      </c>
      <c r="F32" s="42"/>
      <c r="G32" s="42">
        <f t="shared" ca="1" si="0"/>
        <v>0.22243855724364237</v>
      </c>
      <c r="H32" s="145"/>
      <c r="I32" s="145"/>
      <c r="J32" s="145"/>
      <c r="K32" s="145"/>
      <c r="L32" s="145"/>
      <c r="M32" s="145"/>
    </row>
    <row r="33" spans="2:13">
      <c r="B33" s="41">
        <v>2008</v>
      </c>
      <c r="C33" s="42">
        <f>'Exhibit 1'!C31/'Exhibit 1'!B31</f>
        <v>0.25736263945430465</v>
      </c>
      <c r="D33" s="42">
        <f ca="1">OFFSET('Exhibit 2.5.1'!$B$32,0,COUNTA(B33:B$43)-1)</f>
        <v>1.0149999999999999</v>
      </c>
      <c r="E33" s="42">
        <f ca="1">OFFSET('Exhibit 2.5.1'!$B$33,0,COUNTA(B33:B$43)-1)</f>
        <v>1.099013661367271</v>
      </c>
      <c r="F33" s="42"/>
      <c r="G33" s="42">
        <f t="shared" ca="1" si="0"/>
        <v>0.28284505668582022</v>
      </c>
      <c r="H33" s="145"/>
      <c r="I33" s="145"/>
      <c r="J33" s="145"/>
      <c r="K33" s="145"/>
      <c r="L33" s="145"/>
      <c r="M33" s="145"/>
    </row>
    <row r="34" spans="2:13">
      <c r="B34" s="41">
        <v>2009</v>
      </c>
      <c r="C34" s="42">
        <f>'Exhibit 1'!C32/'Exhibit 1'!B32</f>
        <v>0.29628382329064801</v>
      </c>
      <c r="D34" s="42">
        <f ca="1">OFFSET('Exhibit 2.5.1'!$B$32,0,COUNTA(B34:B$43)-1)</f>
        <v>1.0173333333333332</v>
      </c>
      <c r="E34" s="42">
        <f ca="1">OFFSET('Exhibit 2.5.1'!$B$33,0,COUNTA(B34:B$43)-1)</f>
        <v>1.1180632314976369</v>
      </c>
      <c r="F34" s="42"/>
      <c r="G34" s="42">
        <f t="shared" ca="1" si="0"/>
        <v>0.33126404890881672</v>
      </c>
      <c r="H34" s="145"/>
      <c r="I34" s="145"/>
      <c r="J34" s="145"/>
      <c r="K34" s="145"/>
      <c r="L34" s="145"/>
      <c r="M34" s="145"/>
    </row>
    <row r="35" spans="2:13">
      <c r="B35" s="41">
        <v>2010</v>
      </c>
      <c r="C35" s="42">
        <f>'Exhibit 1'!C33/'Exhibit 1'!B33</f>
        <v>0.28078654329805103</v>
      </c>
      <c r="D35" s="42">
        <f ca="1">OFFSET('Exhibit 2.5.1'!$B$32,0,COUNTA(B35:B$43)-1)</f>
        <v>1.0229999999999999</v>
      </c>
      <c r="E35" s="42">
        <f ca="1">OFFSET('Exhibit 2.5.1'!$B$33,0,COUNTA(B35:B$43)-1)</f>
        <v>1.1437786858220824</v>
      </c>
      <c r="F35" s="42"/>
      <c r="G35" s="42">
        <f t="shared" ca="1" si="0"/>
        <v>0.32115766348997005</v>
      </c>
      <c r="H35" s="145"/>
      <c r="I35" s="145"/>
      <c r="J35" s="145"/>
      <c r="K35" s="145"/>
      <c r="L35" s="145"/>
      <c r="M35" s="145"/>
    </row>
    <row r="36" spans="2:13">
      <c r="B36" s="41">
        <v>2011</v>
      </c>
      <c r="C36" s="42">
        <f>'Exhibit 1'!C34/'Exhibit 1'!B34</f>
        <v>0.25653244214641036</v>
      </c>
      <c r="D36" s="42">
        <f ca="1">OFFSET('Exhibit 2.5.1'!$B$32,0,COUNTA(B36:B$43)-1)</f>
        <v>1.024</v>
      </c>
      <c r="E36" s="42">
        <f ca="1">OFFSET('Exhibit 2.5.1'!$B$33,0,COUNTA(B36:B$43)-1)</f>
        <v>1.1712293742818125</v>
      </c>
      <c r="F36" s="42"/>
      <c r="G36" s="42">
        <f t="shared" ca="1" si="0"/>
        <v>0.30045833169812547</v>
      </c>
      <c r="I36" s="145"/>
      <c r="J36" s="145"/>
      <c r="K36" s="145"/>
      <c r="L36" s="145"/>
      <c r="M36" s="145"/>
    </row>
    <row r="37" spans="2:13">
      <c r="B37" s="41">
        <v>2012</v>
      </c>
      <c r="C37" s="42">
        <f>'Exhibit 1'!C35/'Exhibit 1'!B35</f>
        <v>0.22299415726344612</v>
      </c>
      <c r="D37" s="42">
        <f ca="1">OFFSET('Exhibit 2.5.1'!$B$32,0,COUNTA(B37:B$43)-1)</f>
        <v>1.038</v>
      </c>
      <c r="E37" s="42">
        <f ca="1">OFFSET('Exhibit 2.5.1'!$B$33,0,COUNTA(B37:B$43)-1)</f>
        <v>1.2157360905045214</v>
      </c>
      <c r="F37" s="42"/>
      <c r="G37" s="42">
        <f t="shared" ca="1" si="0"/>
        <v>0.27110204495681239</v>
      </c>
      <c r="I37" s="145"/>
      <c r="J37" s="145"/>
      <c r="K37" s="145"/>
      <c r="L37" s="145"/>
      <c r="M37" s="145"/>
    </row>
    <row r="38" spans="2:13">
      <c r="B38" s="41">
        <v>2013</v>
      </c>
      <c r="C38" s="42">
        <f>'Exhibit 1'!C36/'Exhibit 1'!B36</f>
        <v>0.18438522579208769</v>
      </c>
      <c r="D38" s="42">
        <f ca="1">OFFSET('Exhibit 2.5.1'!$B$32,0,COUNTA(B38:B$43)-1)</f>
        <v>1.0469999999999999</v>
      </c>
      <c r="E38" s="42">
        <f ca="1">OFFSET('Exhibit 2.5.1'!$B$33,0,COUNTA(B38:B$43)-1)</f>
        <v>1.2728756867582338</v>
      </c>
      <c r="F38" s="42"/>
      <c r="G38" s="42">
        <f t="shared" ca="1" si="0"/>
        <v>0.23469947090817561</v>
      </c>
      <c r="I38" s="145"/>
      <c r="J38" s="145"/>
      <c r="K38" s="145"/>
      <c r="L38" s="145"/>
      <c r="M38" s="145"/>
    </row>
    <row r="39" spans="2:13">
      <c r="B39" s="41">
        <v>2014</v>
      </c>
      <c r="C39" s="42">
        <f>'Exhibit 1'!C37/'Exhibit 1'!B37</f>
        <v>0.1659393871306199</v>
      </c>
      <c r="D39" s="42">
        <f ca="1">OFFSET('Exhibit 2.5.1'!$B$40,0,COUNTA(B39:B$43)-1)</f>
        <v>1.0550841136583053</v>
      </c>
      <c r="E39" s="42">
        <f ca="1">OFFSET('Exhibit 2.5.1'!$B$33,0,COUNTA(B39:B$43)-1)</f>
        <v>1.3429909157605178</v>
      </c>
      <c r="F39" s="42"/>
      <c r="G39" s="42">
        <f t="shared" ca="1" si="0"/>
        <v>0.2228550894832903</v>
      </c>
      <c r="I39" s="145"/>
      <c r="J39" s="145"/>
      <c r="K39" s="145"/>
      <c r="L39" s="145"/>
      <c r="M39" s="145"/>
    </row>
    <row r="40" spans="2:13">
      <c r="B40" s="41">
        <v>2015</v>
      </c>
      <c r="C40" s="42">
        <f>'Exhibit 1'!C38/'Exhibit 1'!B38</f>
        <v>0.14852591936704082</v>
      </c>
      <c r="D40" s="42">
        <f ca="1">OFFSET('Exhibit 2.5.1'!$B$40,0,COUNTA(B40:B$43)-1)</f>
        <v>1.0926745385514596</v>
      </c>
      <c r="E40" s="42">
        <f ca="1">OFFSET('Exhibit 2.5.1'!$B$33,0,COUNTA(B40:B$43)-1)</f>
        <v>1.4674519791574259</v>
      </c>
      <c r="F40" s="42"/>
      <c r="G40" s="42">
        <f t="shared" ca="1" si="0"/>
        <v>0.21795465433134031</v>
      </c>
      <c r="I40" s="145"/>
      <c r="J40" s="145"/>
      <c r="K40" s="145"/>
      <c r="L40" s="145"/>
      <c r="M40" s="145"/>
    </row>
    <row r="41" spans="2:13">
      <c r="B41" s="41">
        <v>2016</v>
      </c>
      <c r="C41" s="42">
        <f>'Exhibit 1'!C39/'Exhibit 1'!B39</f>
        <v>0.1196695371343587</v>
      </c>
      <c r="D41" s="42">
        <f ca="1">OFFSET('Exhibit 2.5.1'!$B$40,0,COUNTA(B41:B$43)-1)</f>
        <v>1.180423095246681</v>
      </c>
      <c r="E41" s="42">
        <f ca="1">OFFSET('Exhibit 2.5.1'!$B$33,0,COUNTA(B41:B$43)-1)</f>
        <v>1.7322142073628766</v>
      </c>
      <c r="F41" s="42"/>
      <c r="G41" s="42">
        <f t="shared" ca="1" si="0"/>
        <v>0.20729327241267548</v>
      </c>
      <c r="I41" s="145"/>
      <c r="J41" s="145"/>
      <c r="K41" s="145"/>
      <c r="L41" s="145"/>
      <c r="M41" s="145"/>
    </row>
    <row r="42" spans="2:13">
      <c r="B42" s="41">
        <v>2017</v>
      </c>
      <c r="C42" s="42">
        <f>'Exhibit 1'!C40/'Exhibit 1'!B40</f>
        <v>8.5646195348144827E-2</v>
      </c>
      <c r="D42" s="42">
        <f ca="1">OFFSET('Exhibit 2.5.1'!$B$40,0,COUNTA(B42:B$43)-1)</f>
        <v>1.4337068983660368</v>
      </c>
      <c r="E42" s="42">
        <f ca="1">OFFSET('Exhibit 2.5.1'!$B$33,0,COUNTA(B42:B$43)-1)</f>
        <v>2.4834874585438129</v>
      </c>
      <c r="F42" s="42"/>
      <c r="G42" s="42">
        <f t="shared" ca="1" si="0"/>
        <v>0.21270125201911114</v>
      </c>
      <c r="I42" s="145"/>
      <c r="J42" s="145"/>
      <c r="K42" s="145"/>
      <c r="L42" s="145"/>
      <c r="M42" s="145"/>
    </row>
    <row r="43" spans="2:13">
      <c r="B43" s="41">
        <v>2018</v>
      </c>
      <c r="C43" s="42">
        <f>'Exhibit 1'!C41/'Exhibit 1'!B41</f>
        <v>3.9189591525160584E-2</v>
      </c>
      <c r="D43" s="42">
        <f ca="1">OFFSET('Exhibit 2.5.1'!$B$40,0,COUNTA(B$43:B43)-1)</f>
        <v>2.3838154317640852</v>
      </c>
      <c r="E43" s="42">
        <f ca="1">OFFSET('Exhibit 2.5.1'!$B$33,0,COUNTA(B43:B$43)-1)</f>
        <v>5.9201757282693102</v>
      </c>
      <c r="F43" s="42"/>
      <c r="G43" s="42">
        <f t="shared" ca="1" si="0"/>
        <v>0.23200926854804435</v>
      </c>
      <c r="I43" s="145"/>
      <c r="J43" s="145"/>
      <c r="K43" s="145"/>
      <c r="L43" s="145"/>
      <c r="M43" s="145"/>
    </row>
    <row r="44" spans="2:13">
      <c r="B44" s="49"/>
      <c r="C44" s="44"/>
      <c r="D44" s="44"/>
      <c r="E44" s="50"/>
      <c r="F44" s="50"/>
      <c r="G44" s="44"/>
    </row>
    <row r="45" spans="2:13" ht="56.45" customHeight="1">
      <c r="B45" s="45" t="s">
        <v>22</v>
      </c>
      <c r="C45" s="556" t="s">
        <v>54</v>
      </c>
      <c r="D45" s="556"/>
      <c r="E45" s="556"/>
      <c r="F45" s="556"/>
      <c r="G45" s="556"/>
    </row>
    <row r="46" spans="2:13">
      <c r="B46" s="45" t="s">
        <v>28</v>
      </c>
      <c r="C46" s="51" t="s">
        <v>343</v>
      </c>
      <c r="D46" s="52"/>
      <c r="E46" s="10"/>
      <c r="F46" s="10"/>
      <c r="G46" s="10"/>
    </row>
  </sheetData>
  <mergeCells count="6">
    <mergeCell ref="A1:H1"/>
    <mergeCell ref="B3:G3"/>
    <mergeCell ref="D5:F5"/>
    <mergeCell ref="E6:F6"/>
    <mergeCell ref="C45:G45"/>
    <mergeCell ref="B2:G2"/>
  </mergeCells>
  <printOptions horizontalCentered="1"/>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U50"/>
  <sheetViews>
    <sheetView zoomScaleNormal="100" zoomScaleSheetLayoutView="100" workbookViewId="0">
      <selection sqref="A1:H1"/>
    </sheetView>
  </sheetViews>
  <sheetFormatPr defaultColWidth="9.140625" defaultRowHeight="12.75"/>
  <cols>
    <col min="1" max="1" width="12.7109375" style="136" customWidth="1"/>
    <col min="2" max="3" width="15" style="139" customWidth="1"/>
    <col min="4" max="8" width="13.28515625" style="139" customWidth="1"/>
    <col min="9" max="16384" width="9.140625" style="136"/>
  </cols>
  <sheetData>
    <row r="1" spans="1:16">
      <c r="A1" s="547" t="s">
        <v>55</v>
      </c>
      <c r="B1" s="547"/>
      <c r="C1" s="547"/>
      <c r="D1" s="547"/>
      <c r="E1" s="547"/>
      <c r="F1" s="547"/>
      <c r="G1" s="547"/>
      <c r="H1" s="547"/>
    </row>
    <row r="2" spans="1:16">
      <c r="A2" s="547" t="s">
        <v>348</v>
      </c>
      <c r="B2" s="547"/>
      <c r="C2" s="547"/>
      <c r="D2" s="547"/>
      <c r="E2" s="547"/>
      <c r="F2" s="547"/>
      <c r="G2" s="547"/>
      <c r="H2" s="547"/>
    </row>
    <row r="3" spans="1:16">
      <c r="A3" s="547" t="s">
        <v>489</v>
      </c>
      <c r="B3" s="547"/>
      <c r="C3" s="547"/>
      <c r="D3" s="547"/>
      <c r="E3" s="547"/>
      <c r="F3" s="547"/>
      <c r="G3" s="547"/>
      <c r="H3" s="547"/>
    </row>
    <row r="4" spans="1:16">
      <c r="A4" s="158"/>
      <c r="B4" s="54"/>
      <c r="C4" s="54"/>
      <c r="D4" s="54"/>
      <c r="E4" s="54"/>
      <c r="F4" s="54"/>
      <c r="G4" s="54"/>
      <c r="H4" s="55"/>
    </row>
    <row r="5" spans="1:16">
      <c r="A5" s="158"/>
      <c r="B5" s="56" t="s">
        <v>47</v>
      </c>
      <c r="C5" s="56" t="s">
        <v>48</v>
      </c>
      <c r="D5" s="56" t="s">
        <v>49</v>
      </c>
      <c r="E5" s="56" t="s">
        <v>50</v>
      </c>
      <c r="F5" s="56" t="s">
        <v>56</v>
      </c>
      <c r="G5" s="56" t="s">
        <v>57</v>
      </c>
      <c r="H5" s="56" t="s">
        <v>146</v>
      </c>
    </row>
    <row r="6" spans="1:16">
      <c r="A6" s="158"/>
      <c r="B6" s="55"/>
      <c r="C6" s="562" t="s">
        <v>381</v>
      </c>
      <c r="D6" s="562"/>
      <c r="E6" s="562"/>
      <c r="F6" s="562"/>
      <c r="G6" s="562"/>
      <c r="H6" s="562"/>
    </row>
    <row r="7" spans="1:16">
      <c r="D7" s="564" t="s">
        <v>46</v>
      </c>
      <c r="E7" s="564"/>
      <c r="F7" s="564"/>
    </row>
    <row r="8" spans="1:16">
      <c r="A8" s="158"/>
      <c r="B8" s="55"/>
      <c r="C8" s="55" t="s">
        <v>58</v>
      </c>
      <c r="E8" s="564" t="s">
        <v>21</v>
      </c>
      <c r="F8" s="564"/>
      <c r="G8" s="55" t="s">
        <v>58</v>
      </c>
      <c r="H8" s="55" t="s">
        <v>59</v>
      </c>
    </row>
    <row r="9" spans="1:16">
      <c r="A9" s="158" t="s">
        <v>60</v>
      </c>
      <c r="B9" s="55" t="s">
        <v>61</v>
      </c>
      <c r="C9" s="55" t="s">
        <v>61</v>
      </c>
      <c r="D9" s="136"/>
      <c r="E9" s="355" t="s">
        <v>382</v>
      </c>
      <c r="F9" s="355" t="s">
        <v>383</v>
      </c>
      <c r="G9" s="55" t="s">
        <v>401</v>
      </c>
      <c r="H9" s="55" t="s">
        <v>62</v>
      </c>
    </row>
    <row r="10" spans="1:16">
      <c r="A10" s="38" t="s">
        <v>8</v>
      </c>
      <c r="B10" s="57" t="s">
        <v>63</v>
      </c>
      <c r="C10" s="57" t="s">
        <v>402</v>
      </c>
      <c r="D10" s="57" t="s">
        <v>403</v>
      </c>
      <c r="E10" s="57" t="s">
        <v>404</v>
      </c>
      <c r="F10" s="57" t="s">
        <v>404</v>
      </c>
      <c r="G10" s="57" t="s">
        <v>405</v>
      </c>
      <c r="H10" s="57" t="s">
        <v>64</v>
      </c>
    </row>
    <row r="11" spans="1:16">
      <c r="A11" s="158"/>
      <c r="B11" s="58"/>
      <c r="C11" s="55"/>
      <c r="D11" s="55"/>
      <c r="E11" s="136"/>
      <c r="F11" s="55"/>
      <c r="G11" s="55" t="s">
        <v>406</v>
      </c>
      <c r="H11" s="55" t="s">
        <v>384</v>
      </c>
    </row>
    <row r="12" spans="1:16" hidden="1">
      <c r="A12" s="41">
        <v>1985</v>
      </c>
      <c r="B12" s="46">
        <v>0.35108755574896194</v>
      </c>
      <c r="C12" s="46">
        <v>0.35108755574896194</v>
      </c>
      <c r="D12" s="46" t="e">
        <v>#N/A</v>
      </c>
      <c r="E12" s="46" t="e">
        <v>#N/A</v>
      </c>
      <c r="F12" s="46" t="e">
        <v>#N/A</v>
      </c>
      <c r="G12" s="46" t="e">
        <v>#N/A</v>
      </c>
      <c r="H12" s="46" t="e">
        <v>#N/A</v>
      </c>
      <c r="J12" s="145"/>
      <c r="K12" s="145"/>
      <c r="L12" s="145"/>
      <c r="M12" s="145"/>
      <c r="N12" s="145"/>
      <c r="O12" s="145"/>
      <c r="P12" s="145"/>
    </row>
    <row r="13" spans="1:16">
      <c r="A13" s="41">
        <v>1986</v>
      </c>
      <c r="B13" s="46">
        <f>('Exhibit 1'!E9+'Exhibit 1'!F9)/'Exhibit 1'!B9</f>
        <v>0.33478829048962566</v>
      </c>
      <c r="C13" s="436">
        <v>0.33478829048962566</v>
      </c>
      <c r="D13" s="46">
        <f ca="1">OFFSET('Exhibit 2.6.2'!$B$22,0,$A$25-$A13)</f>
        <v>1</v>
      </c>
      <c r="E13" s="46">
        <f ca="1">OFFSET('Exhibit 2.6.2'!$B$23,0,$A$25-$A13)</f>
        <v>1.0289999999999999</v>
      </c>
      <c r="F13" s="46">
        <f ca="1">E13</f>
        <v>1.0289999999999999</v>
      </c>
      <c r="G13" s="46">
        <f ca="1">C13*F13</f>
        <v>0.34449715091382477</v>
      </c>
      <c r="H13" s="46">
        <f ca="1">B13+G13-C13</f>
        <v>0.34449715091382471</v>
      </c>
      <c r="J13" s="145"/>
      <c r="K13" s="145"/>
      <c r="L13" s="145"/>
      <c r="M13" s="145"/>
      <c r="N13" s="145"/>
      <c r="O13" s="145"/>
    </row>
    <row r="14" spans="1:16">
      <c r="A14" s="41">
        <v>1987</v>
      </c>
      <c r="B14" s="46">
        <f>('Exhibit 1'!E10+'Exhibit 1'!F10)/'Exhibit 1'!B10</f>
        <v>0.31354867495964472</v>
      </c>
      <c r="C14" s="436">
        <v>0.31354867495964472</v>
      </c>
      <c r="D14" s="46">
        <f ca="1">OFFSET('Exhibit 2.6.2'!$B$22,0,$A$25-$A14)</f>
        <v>1.0004999999999999</v>
      </c>
      <c r="E14" s="46">
        <f ca="1">OFFSET('Exhibit 2.6.2'!$B$23,0,$A$25-$A14)</f>
        <v>1.0295144999999999</v>
      </c>
      <c r="F14" s="46">
        <f t="shared" ref="F14:F39" ca="1" si="0">E14</f>
        <v>1.0295144999999999</v>
      </c>
      <c r="G14" s="46">
        <f t="shared" ref="G14:G45" ca="1" si="1">C14*F14</f>
        <v>0.32280290732674111</v>
      </c>
      <c r="H14" s="46">
        <f t="shared" ref="H14:H45" ca="1" si="2">B14+G14-C14</f>
        <v>0.32280290732674116</v>
      </c>
      <c r="J14" s="145"/>
      <c r="K14" s="145"/>
      <c r="L14" s="145"/>
      <c r="M14" s="145"/>
      <c r="N14" s="145"/>
      <c r="O14" s="145"/>
    </row>
    <row r="15" spans="1:16">
      <c r="A15" s="41">
        <v>1988</v>
      </c>
      <c r="B15" s="46">
        <f>('Exhibit 1'!E11+'Exhibit 1'!F11)/'Exhibit 1'!B11</f>
        <v>0.30439222542196481</v>
      </c>
      <c r="C15" s="436">
        <v>0.30439222542196481</v>
      </c>
      <c r="D15" s="46">
        <f ca="1">OFFSET('Exhibit 2.6.2'!$B$22,0,$A$25-$A15)</f>
        <v>1.0005999999999999</v>
      </c>
      <c r="E15" s="46">
        <f ca="1">OFFSET('Exhibit 2.6.2'!$B$23,0,$A$25-$A15)</f>
        <v>1.0301322086999998</v>
      </c>
      <c r="F15" s="46">
        <f t="shared" ca="1" si="0"/>
        <v>1.0301322086999998</v>
      </c>
      <c r="G15" s="46">
        <f t="shared" ca="1" si="1"/>
        <v>0.31356423548503681</v>
      </c>
      <c r="H15" s="46">
        <f t="shared" ca="1" si="2"/>
        <v>0.31356423548503681</v>
      </c>
      <c r="J15" s="145"/>
      <c r="K15" s="145"/>
      <c r="L15" s="145"/>
      <c r="M15" s="145"/>
      <c r="N15" s="145"/>
      <c r="O15" s="145"/>
    </row>
    <row r="16" spans="1:16">
      <c r="A16" s="41">
        <v>1989</v>
      </c>
      <c r="B16" s="46">
        <f>('Exhibit 1'!E12+'Exhibit 1'!F12)/'Exhibit 1'!B12</f>
        <v>0.32507335640087193</v>
      </c>
      <c r="C16" s="436">
        <v>0.32507335640087193</v>
      </c>
      <c r="D16" s="46">
        <f ca="1">OFFSET('Exhibit 2.6.2'!$B$22,0,$A$25-$A16)</f>
        <v>1</v>
      </c>
      <c r="E16" s="46">
        <f ca="1">OFFSET('Exhibit 2.6.2'!$B$23,0,$A$25-$A16)</f>
        <v>1.0301322086999998</v>
      </c>
      <c r="F16" s="46">
        <f t="shared" ca="1" si="0"/>
        <v>1.0301322086999998</v>
      </c>
      <c r="G16" s="46">
        <f t="shared" ca="1" si="1"/>
        <v>0.33486853461875243</v>
      </c>
      <c r="H16" s="46">
        <f t="shared" ca="1" si="2"/>
        <v>0.33486853461875249</v>
      </c>
      <c r="J16" s="145"/>
      <c r="K16" s="145"/>
      <c r="L16" s="145"/>
      <c r="M16" s="145"/>
      <c r="N16" s="145"/>
      <c r="O16" s="145"/>
    </row>
    <row r="17" spans="1:15">
      <c r="A17" s="41">
        <v>1990</v>
      </c>
      <c r="B17" s="46">
        <f>('Exhibit 1'!E13+'Exhibit 1'!F13)/'Exhibit 1'!B13</f>
        <v>0.36620063435252109</v>
      </c>
      <c r="C17" s="436">
        <v>0.36620063435252109</v>
      </c>
      <c r="D17" s="46">
        <f ca="1">OFFSET('Exhibit 2.6.2'!$B$22,0,$A$25-$A17)</f>
        <v>1.0001666666666666</v>
      </c>
      <c r="E17" s="46">
        <f ca="1">OFFSET('Exhibit 2.6.2'!$B$23,0,$A$25-$A17)</f>
        <v>1.0303038974014498</v>
      </c>
      <c r="F17" s="46">
        <f t="shared" ca="1" si="0"/>
        <v>1.0303038974014498</v>
      </c>
      <c r="G17" s="46">
        <f t="shared" ca="1" si="1"/>
        <v>0.37729794080428575</v>
      </c>
      <c r="H17" s="46">
        <f t="shared" ca="1" si="2"/>
        <v>0.37729794080428575</v>
      </c>
      <c r="J17" s="145"/>
      <c r="K17" s="145"/>
      <c r="L17" s="145"/>
      <c r="M17" s="145"/>
      <c r="N17" s="145"/>
      <c r="O17" s="145"/>
    </row>
    <row r="18" spans="1:15">
      <c r="A18" s="41">
        <v>1991</v>
      </c>
      <c r="B18" s="46">
        <f>('Exhibit 1'!E14+'Exhibit 1'!F14)/'Exhibit 1'!B14</f>
        <v>0.38342677959419003</v>
      </c>
      <c r="C18" s="436">
        <v>0.38342677959419003</v>
      </c>
      <c r="D18" s="46">
        <f ca="1">OFFSET('Exhibit 2.6.2'!$B$22,0,$A$25-$A18)</f>
        <v>1.0008333333333332</v>
      </c>
      <c r="E18" s="46">
        <f ca="1">OFFSET('Exhibit 2.6.2'!$B$23,0,$A$25-$A18)</f>
        <v>1.0311624839826177</v>
      </c>
      <c r="F18" s="46">
        <f t="shared" ca="1" si="0"/>
        <v>1.0311624839826177</v>
      </c>
      <c r="G18" s="46">
        <f t="shared" ca="1" si="1"/>
        <v>0.39537531047180063</v>
      </c>
      <c r="H18" s="46">
        <f t="shared" ca="1" si="2"/>
        <v>0.39537531047180063</v>
      </c>
      <c r="J18" s="145"/>
      <c r="K18" s="145"/>
      <c r="L18" s="145"/>
      <c r="M18" s="145"/>
      <c r="N18" s="145"/>
      <c r="O18" s="145"/>
    </row>
    <row r="19" spans="1:15">
      <c r="A19" s="41">
        <v>1992</v>
      </c>
      <c r="B19" s="46">
        <f>('Exhibit 1'!E15+'Exhibit 1'!F15)/'Exhibit 1'!B15</f>
        <v>0.31870574025640303</v>
      </c>
      <c r="C19" s="436">
        <v>0.31870574025640303</v>
      </c>
      <c r="D19" s="46">
        <f ca="1">OFFSET('Exhibit 2.6.2'!$B$22,0,$A$25-$A19)</f>
        <v>1.0008333333333332</v>
      </c>
      <c r="E19" s="46">
        <f ca="1">OFFSET('Exhibit 2.6.2'!$B$23,0,$A$25-$A19)</f>
        <v>1.0320217860526031</v>
      </c>
      <c r="F19" s="46">
        <f t="shared" ca="1" si="0"/>
        <v>1.0320217860526031</v>
      </c>
      <c r="G19" s="46">
        <f t="shared" ca="1" si="1"/>
        <v>0.32891126728463005</v>
      </c>
      <c r="H19" s="46">
        <f t="shared" ca="1" si="2"/>
        <v>0.32891126728462999</v>
      </c>
      <c r="J19" s="145"/>
      <c r="K19" s="145"/>
      <c r="L19" s="145"/>
      <c r="M19" s="145"/>
      <c r="N19" s="145"/>
      <c r="O19" s="145"/>
    </row>
    <row r="20" spans="1:15">
      <c r="A20" s="41">
        <v>1993</v>
      </c>
      <c r="B20" s="46">
        <f>('Exhibit 1'!E16+'Exhibit 1'!F16)/'Exhibit 1'!B16</f>
        <v>0.26644920346296475</v>
      </c>
      <c r="C20" s="436">
        <v>0.26644920346296475</v>
      </c>
      <c r="D20" s="46">
        <f ca="1">OFFSET('Exhibit 2.6.2'!$B$22,0,$A$25-$A20)</f>
        <v>1.0008333333333332</v>
      </c>
      <c r="E20" s="46">
        <f ca="1">OFFSET('Exhibit 2.6.2'!$B$23,0,$A$25-$A20)</f>
        <v>1.0328818042076469</v>
      </c>
      <c r="F20" s="46">
        <f t="shared" ca="1" si="0"/>
        <v>1.0328818042076469</v>
      </c>
      <c r="G20" s="46">
        <f t="shared" ca="1" si="1"/>
        <v>0.27521053400251744</v>
      </c>
      <c r="H20" s="46">
        <f t="shared" ca="1" si="2"/>
        <v>0.27521053400251738</v>
      </c>
      <c r="J20" s="145"/>
      <c r="K20" s="145"/>
      <c r="L20" s="145"/>
      <c r="M20" s="145"/>
      <c r="N20" s="145"/>
      <c r="O20" s="145"/>
    </row>
    <row r="21" spans="1:15">
      <c r="A21" s="41">
        <v>1994</v>
      </c>
      <c r="B21" s="46">
        <f>('Exhibit 1'!E17+'Exhibit 1'!F17)/'Exhibit 1'!B17</f>
        <v>0.30764589272815074</v>
      </c>
      <c r="C21" s="436">
        <v>0.30764589272815074</v>
      </c>
      <c r="D21" s="46">
        <f ca="1">OFFSET('Exhibit 2.6.2'!$B$22,0,$A$25-$A21)</f>
        <v>1.0009999999999999</v>
      </c>
      <c r="E21" s="46">
        <f ca="1">OFFSET('Exhibit 2.6.2'!$B$23,0,$A$25-$A21)</f>
        <v>1.0339146860118544</v>
      </c>
      <c r="F21" s="46">
        <f t="shared" ca="1" si="0"/>
        <v>1.0339146860118544</v>
      </c>
      <c r="G21" s="46">
        <f t="shared" ca="1" si="1"/>
        <v>0.31807960658286261</v>
      </c>
      <c r="H21" s="46">
        <f t="shared" ca="1" si="2"/>
        <v>0.31807960658286255</v>
      </c>
      <c r="J21" s="145"/>
      <c r="K21" s="145"/>
      <c r="L21" s="145"/>
      <c r="M21" s="145"/>
      <c r="N21" s="145"/>
      <c r="O21" s="145"/>
    </row>
    <row r="22" spans="1:15">
      <c r="A22" s="41">
        <v>1995</v>
      </c>
      <c r="B22" s="46">
        <f>('Exhibit 1'!E18+'Exhibit 1'!F18)/'Exhibit 1'!B18</f>
        <v>0.4523868204909624</v>
      </c>
      <c r="C22" s="436">
        <v>0.4523868204909624</v>
      </c>
      <c r="D22" s="46">
        <f ca="1">OFFSET('Exhibit 2.6.2'!$B$22,0,$A$25-$A22)</f>
        <v>0.9993333333333333</v>
      </c>
      <c r="E22" s="46">
        <f ca="1">OFFSET('Exhibit 2.6.2'!$B$23,0,$A$25-$A22)</f>
        <v>1.0332254095545133</v>
      </c>
      <c r="F22" s="46">
        <f t="shared" ca="1" si="0"/>
        <v>1.0332254095545133</v>
      </c>
      <c r="G22" s="46">
        <f t="shared" ca="1" si="1"/>
        <v>0.46741755787883871</v>
      </c>
      <c r="H22" s="46">
        <f t="shared" ca="1" si="2"/>
        <v>0.46741755787883871</v>
      </c>
      <c r="J22" s="145"/>
      <c r="K22" s="145"/>
      <c r="L22" s="145"/>
      <c r="M22" s="145"/>
      <c r="N22" s="145"/>
      <c r="O22" s="145"/>
    </row>
    <row r="23" spans="1:15">
      <c r="A23" s="41">
        <v>1996</v>
      </c>
      <c r="B23" s="46">
        <f>('Exhibit 1'!E19+'Exhibit 1'!F19)/'Exhibit 1'!B19</f>
        <v>0.48404308842472188</v>
      </c>
      <c r="C23" s="436">
        <v>0.48404308842472188</v>
      </c>
      <c r="D23" s="46">
        <f ca="1">OFFSET('Exhibit 2.6.2'!$B$22,0,$A$25-$A23)</f>
        <v>0.99966666666666659</v>
      </c>
      <c r="E23" s="46">
        <f ca="1">OFFSET('Exhibit 2.6.2'!$B$23,0,$A$25-$A23)</f>
        <v>1.0328810010846616</v>
      </c>
      <c r="F23" s="46">
        <f t="shared" ca="1" si="0"/>
        <v>1.0328810010846616</v>
      </c>
      <c r="G23" s="46">
        <f t="shared" ca="1" si="1"/>
        <v>0.4999589097402381</v>
      </c>
      <c r="H23" s="46">
        <f t="shared" ca="1" si="2"/>
        <v>0.49995890974023804</v>
      </c>
      <c r="J23" s="145"/>
      <c r="K23" s="145"/>
      <c r="L23" s="145"/>
      <c r="M23" s="145"/>
      <c r="N23" s="145"/>
      <c r="O23" s="145"/>
    </row>
    <row r="24" spans="1:15">
      <c r="A24" s="41">
        <v>1997</v>
      </c>
      <c r="B24" s="46">
        <f>('Exhibit 1'!E20+'Exhibit 1'!F20)/'Exhibit 1'!B20</f>
        <v>0.54547969462212353</v>
      </c>
      <c r="C24" s="436">
        <v>0.54547969462212353</v>
      </c>
      <c r="D24" s="46">
        <f ca="1">OFFSET('Exhibit 2.6.2'!$B$22,0,$A$25-$A24)</f>
        <v>0.99883333333333335</v>
      </c>
      <c r="E24" s="46">
        <f ca="1">OFFSET('Exhibit 2.6.2'!$B$23,0,$A$25-$A24)</f>
        <v>1.0316759732500629</v>
      </c>
      <c r="F24" s="46">
        <f t="shared" ca="1" si="0"/>
        <v>1.0316759732500629</v>
      </c>
      <c r="G24" s="46">
        <f t="shared" ca="1" si="1"/>
        <v>0.56275829483742634</v>
      </c>
      <c r="H24" s="46">
        <f t="shared" ca="1" si="2"/>
        <v>0.56275829483742623</v>
      </c>
      <c r="J24" s="145"/>
      <c r="K24" s="145"/>
      <c r="L24" s="145"/>
      <c r="M24" s="145"/>
      <c r="N24" s="145"/>
      <c r="O24" s="145"/>
    </row>
    <row r="25" spans="1:15" ht="13.5" thickBot="1">
      <c r="A25" s="41">
        <v>1998</v>
      </c>
      <c r="B25" s="47">
        <f>('Exhibit 1'!E21+'Exhibit 1'!F21)/'Exhibit 1'!B21</f>
        <v>0.65768663886087098</v>
      </c>
      <c r="C25" s="437">
        <v>0.65768663886087098</v>
      </c>
      <c r="D25" s="47">
        <f ca="1">OFFSET('Exhibit 2.6.2'!$B$22,0,$A$25-$A25)</f>
        <v>1</v>
      </c>
      <c r="E25" s="47">
        <f ca="1">OFFSET('Exhibit 2.6.2'!$B$23,0,$A$25-$A25)</f>
        <v>1.0316759732500629</v>
      </c>
      <c r="F25" s="47">
        <f t="shared" ca="1" si="0"/>
        <v>1.0316759732500629</v>
      </c>
      <c r="G25" s="47">
        <f t="shared" ca="1" si="1"/>
        <v>0.67851950324035171</v>
      </c>
      <c r="H25" s="47">
        <f t="shared" ca="1" si="2"/>
        <v>0.6785195032403516</v>
      </c>
      <c r="J25" s="145"/>
      <c r="K25" s="145"/>
      <c r="L25" s="145"/>
      <c r="M25" s="145"/>
      <c r="N25" s="145"/>
      <c r="O25" s="145"/>
    </row>
    <row r="26" spans="1:15">
      <c r="A26" s="41">
        <v>1999</v>
      </c>
      <c r="B26" s="42">
        <f>'Exhibit 1'!E22/'Exhibit 1'!B22</f>
        <v>0.66315861408974053</v>
      </c>
      <c r="C26" s="438">
        <v>0.59046955898933573</v>
      </c>
      <c r="D26" s="42">
        <f ca="1">OFFSET('Exhibit 2.6.1'!$B$58,0,$A$45-$A26)</f>
        <v>1.0083333333333331</v>
      </c>
      <c r="E26" s="42">
        <f ca="1">OFFSET('Exhibit 2.6.1'!$B$61,0,$A$45-$A26)</f>
        <v>1.1252289236576969</v>
      </c>
      <c r="F26" s="42">
        <f t="shared" ca="1" si="0"/>
        <v>1.1252289236576969</v>
      </c>
      <c r="G26" s="42">
        <f t="shared" ca="1" si="1"/>
        <v>0.66441342631420519</v>
      </c>
      <c r="H26" s="42">
        <f t="shared" ca="1" si="2"/>
        <v>0.73710248141460999</v>
      </c>
      <c r="J26" s="145"/>
      <c r="K26" s="145"/>
      <c r="L26" s="145"/>
      <c r="M26" s="145"/>
      <c r="N26" s="145"/>
      <c r="O26" s="145"/>
    </row>
    <row r="27" spans="1:15">
      <c r="A27" s="41">
        <v>2000</v>
      </c>
      <c r="B27" s="42">
        <f>'Exhibit 1'!E23/'Exhibit 1'!B23</f>
        <v>0.59823413783471746</v>
      </c>
      <c r="C27" s="438">
        <v>0.53325933552177684</v>
      </c>
      <c r="D27" s="42">
        <f ca="1">OFFSET('Exhibit 2.6.1'!$B$58,0,$A$45-$A27)</f>
        <v>1.0083333333333331</v>
      </c>
      <c r="E27" s="42">
        <f ca="1">OFFSET('Exhibit 2.6.1'!$B$61,0,$A$45-$A27)</f>
        <v>1.1346058313548442</v>
      </c>
      <c r="F27" s="42">
        <f t="shared" ca="1" si="0"/>
        <v>1.1346058313548442</v>
      </c>
      <c r="G27" s="42">
        <f t="shared" ca="1" si="1"/>
        <v>0.6050391517074174</v>
      </c>
      <c r="H27" s="42">
        <f t="shared" ca="1" si="2"/>
        <v>0.67001395402035813</v>
      </c>
      <c r="J27" s="145"/>
      <c r="K27" s="145"/>
      <c r="L27" s="145"/>
      <c r="M27" s="145"/>
      <c r="N27" s="145"/>
      <c r="O27" s="145"/>
    </row>
    <row r="28" spans="1:15">
      <c r="A28" s="41">
        <v>2001</v>
      </c>
      <c r="B28" s="42">
        <f>'Exhibit 1'!E24/'Exhibit 1'!B24</f>
        <v>0.5261853088777072</v>
      </c>
      <c r="C28" s="438">
        <v>0.47083520583917082</v>
      </c>
      <c r="D28" s="42">
        <f ca="1">OFFSET('Exhibit 2.6.1'!$B$58,0,$A$45-$A28)</f>
        <v>1.0090000000000001</v>
      </c>
      <c r="E28" s="42">
        <f ca="1">OFFSET('Exhibit 2.6.1'!$B$61,0,$A$45-$A28)</f>
        <v>1.1448172838370378</v>
      </c>
      <c r="F28" s="42">
        <f t="shared" ca="1" si="0"/>
        <v>1.1448172838370378</v>
      </c>
      <c r="G28" s="42">
        <f t="shared" ca="1" si="1"/>
        <v>0.53902028148365211</v>
      </c>
      <c r="H28" s="42">
        <f t="shared" ca="1" si="2"/>
        <v>0.59437038452218849</v>
      </c>
      <c r="J28" s="145"/>
      <c r="K28" s="145"/>
      <c r="L28" s="145"/>
      <c r="M28" s="145"/>
      <c r="N28" s="145"/>
      <c r="O28" s="145"/>
    </row>
    <row r="29" spans="1:15">
      <c r="A29" s="41">
        <v>2002</v>
      </c>
      <c r="B29" s="42">
        <f>'Exhibit 1'!E25/'Exhibit 1'!B25</f>
        <v>0.40541606288404625</v>
      </c>
      <c r="C29" s="438">
        <v>0.36396437554367178</v>
      </c>
      <c r="D29" s="42">
        <f ca="1">OFFSET('Exhibit 2.6.1'!$B$58,0,$A$45-$A29)</f>
        <v>1.0103333333333333</v>
      </c>
      <c r="E29" s="42">
        <f ca="1">OFFSET('Exhibit 2.6.1'!$B$61,0,$A$45-$A29)</f>
        <v>1.1566470624366871</v>
      </c>
      <c r="F29" s="42">
        <f t="shared" ca="1" si="0"/>
        <v>1.1566470624366871</v>
      </c>
      <c r="G29" s="42">
        <f t="shared" ca="1" si="1"/>
        <v>0.4209783258041912</v>
      </c>
      <c r="H29" s="42">
        <f t="shared" ca="1" si="2"/>
        <v>0.46243001314456567</v>
      </c>
      <c r="J29" s="145"/>
      <c r="K29" s="145"/>
      <c r="L29" s="145"/>
      <c r="M29" s="145"/>
      <c r="N29" s="145"/>
      <c r="O29" s="145"/>
    </row>
    <row r="30" spans="1:15">
      <c r="A30" s="41">
        <v>2003</v>
      </c>
      <c r="B30" s="42">
        <f>'Exhibit 1'!E26/'Exhibit 1'!B26</f>
        <v>0.25738202516500053</v>
      </c>
      <c r="C30" s="438">
        <v>0.23170243009597155</v>
      </c>
      <c r="D30" s="42">
        <f ca="1">OFFSET('Exhibit 2.6.1'!$B$58,0,$A$45-$A30)</f>
        <v>1.0106666666666666</v>
      </c>
      <c r="E30" s="42">
        <f ca="1">OFFSET('Exhibit 2.6.1'!$B$61,0,$A$45-$A30)</f>
        <v>1.1689846311026784</v>
      </c>
      <c r="F30" s="42">
        <f t="shared" ca="1" si="0"/>
        <v>1.1689846311026784</v>
      </c>
      <c r="G30" s="42">
        <f t="shared" ca="1" si="1"/>
        <v>0.27085657977133343</v>
      </c>
      <c r="H30" s="42">
        <f t="shared" ca="1" si="2"/>
        <v>0.29653617484036232</v>
      </c>
      <c r="J30" s="145"/>
      <c r="K30" s="145"/>
      <c r="L30" s="145"/>
      <c r="M30" s="145"/>
      <c r="N30" s="145"/>
      <c r="O30" s="145"/>
    </row>
    <row r="31" spans="1:15">
      <c r="A31" s="41">
        <v>2004</v>
      </c>
      <c r="B31" s="42">
        <f>'Exhibit 1'!E27/'Exhibit 1'!B27</f>
        <v>0.17378752358191593</v>
      </c>
      <c r="C31" s="438">
        <v>0.15680509418659347</v>
      </c>
      <c r="D31" s="42">
        <f ca="1">OFFSET('Exhibit 2.6.1'!$B$58,0,$A$45-$A31)</f>
        <v>1.0123333333333333</v>
      </c>
      <c r="E31" s="42">
        <f ca="1">OFFSET('Exhibit 2.6.1'!$B$61,0,$A$45-$A31)</f>
        <v>1.1834021082196113</v>
      </c>
      <c r="F31" s="42">
        <f t="shared" ca="1" si="0"/>
        <v>1.1834021082196113</v>
      </c>
      <c r="G31" s="42">
        <f t="shared" ca="1" si="1"/>
        <v>0.18556347903998943</v>
      </c>
      <c r="H31" s="42">
        <f t="shared" ca="1" si="2"/>
        <v>0.20254590843531187</v>
      </c>
      <c r="J31" s="145"/>
      <c r="K31" s="145"/>
      <c r="L31" s="145"/>
      <c r="M31" s="145"/>
      <c r="N31" s="145"/>
      <c r="O31" s="145"/>
    </row>
    <row r="32" spans="1:15">
      <c r="A32" s="41">
        <v>2005</v>
      </c>
      <c r="B32" s="42">
        <f>'Exhibit 1'!E28/'Exhibit 1'!B28</f>
        <v>0.16866207944422121</v>
      </c>
      <c r="C32" s="438">
        <v>0.15236889763823203</v>
      </c>
      <c r="D32" s="42">
        <f ca="1">OFFSET('Exhibit 2.6.1'!$B$58,0,$A$45-$A32)</f>
        <v>1.0126666666666666</v>
      </c>
      <c r="E32" s="42">
        <f ca="1">OFFSET('Exhibit 2.6.1'!$B$61,0,$A$45-$A32)</f>
        <v>1.1983918682570596</v>
      </c>
      <c r="F32" s="42">
        <f t="shared" ca="1" si="0"/>
        <v>1.1983918682570596</v>
      </c>
      <c r="G32" s="42">
        <f t="shared" ca="1" si="1"/>
        <v>0.18259764790494956</v>
      </c>
      <c r="H32" s="42">
        <f t="shared" ca="1" si="2"/>
        <v>0.19889082971093874</v>
      </c>
      <c r="J32" s="145"/>
      <c r="K32" s="145"/>
      <c r="L32" s="145"/>
      <c r="M32" s="145"/>
      <c r="N32" s="145"/>
      <c r="O32" s="145"/>
    </row>
    <row r="33" spans="1:21">
      <c r="A33" s="41">
        <v>2006</v>
      </c>
      <c r="B33" s="42">
        <f>'Exhibit 1'!E29/'Exhibit 1'!B29</f>
        <v>0.21543840917662577</v>
      </c>
      <c r="C33" s="438">
        <v>0.19535686567269628</v>
      </c>
      <c r="D33" s="42">
        <f ca="1">OFFSET('Exhibit 2.6.1'!$B$58,0,$A$45-$A33)</f>
        <v>1.0153333333333332</v>
      </c>
      <c r="E33" s="42">
        <f ca="1">OFFSET('Exhibit 2.6.1'!$B$61,0,$A$45-$A33)</f>
        <v>1.2167672102370011</v>
      </c>
      <c r="F33" s="42">
        <f t="shared" ca="1" si="0"/>
        <v>1.2167672102370011</v>
      </c>
      <c r="G33" s="42">
        <f t="shared" ca="1" si="1"/>
        <v>0.23770382844521121</v>
      </c>
      <c r="H33" s="42">
        <f t="shared" ca="1" si="2"/>
        <v>0.2577853719491407</v>
      </c>
      <c r="J33" s="145"/>
      <c r="K33" s="145"/>
      <c r="L33" s="145"/>
      <c r="M33" s="145"/>
      <c r="N33" s="145"/>
      <c r="O33" s="145"/>
    </row>
    <row r="34" spans="1:21">
      <c r="A34" s="41">
        <v>2007</v>
      </c>
      <c r="B34" s="42">
        <f>'Exhibit 1'!E30/'Exhibit 1'!B30</f>
        <v>0.29945197446349292</v>
      </c>
      <c r="C34" s="438">
        <v>0.27261184239185404</v>
      </c>
      <c r="D34" s="42">
        <f ca="1">OFFSET('Exhibit 2.6.1'!$B$58,0,$A$45-$A34)</f>
        <v>1.0176666666666667</v>
      </c>
      <c r="E34" s="42">
        <f ca="1">OFFSET('Exhibit 2.6.1'!$B$61,0,$A$45-$A34)</f>
        <v>1.2382634309511882</v>
      </c>
      <c r="F34" s="42">
        <f t="shared" ca="1" si="0"/>
        <v>1.2382634309511882</v>
      </c>
      <c r="G34" s="42">
        <f t="shared" ca="1" si="1"/>
        <v>0.33756527527806174</v>
      </c>
      <c r="H34" s="42">
        <f t="shared" ca="1" si="2"/>
        <v>0.36440540734970067</v>
      </c>
      <c r="J34" s="145"/>
      <c r="K34" s="145"/>
      <c r="L34" s="145"/>
      <c r="M34" s="145"/>
      <c r="N34" s="145"/>
      <c r="O34" s="145"/>
    </row>
    <row r="35" spans="1:21">
      <c r="A35" s="41">
        <v>2008</v>
      </c>
      <c r="B35" s="42">
        <f>'Exhibit 1'!E31/'Exhibit 1'!B31</f>
        <v>0.36842150325268613</v>
      </c>
      <c r="C35" s="438">
        <v>0.33702299709712619</v>
      </c>
      <c r="D35" s="42">
        <f ca="1">OFFSET('Exhibit 2.6.1'!$B$58,0,$A$45-$A35)</f>
        <v>1.0206666666666666</v>
      </c>
      <c r="E35" s="42">
        <f ca="1">OFFSET('Exhibit 2.6.1'!$B$61,0,$A$45-$A35)</f>
        <v>1.2638542085241793</v>
      </c>
      <c r="F35" s="42">
        <f t="shared" ca="1" si="0"/>
        <v>1.2638542085241793</v>
      </c>
      <c r="G35" s="42">
        <f t="shared" ca="1" si="1"/>
        <v>0.42594793325063518</v>
      </c>
      <c r="H35" s="42">
        <f t="shared" ca="1" si="2"/>
        <v>0.45734643940619518</v>
      </c>
      <c r="J35" s="145"/>
      <c r="K35" s="145"/>
      <c r="L35" s="145"/>
      <c r="M35" s="145"/>
      <c r="N35" s="145"/>
      <c r="O35" s="145"/>
    </row>
    <row r="36" spans="1:21">
      <c r="A36" s="41">
        <v>2009</v>
      </c>
      <c r="B36" s="42">
        <f>'Exhibit 1'!E32/'Exhibit 1'!B32</f>
        <v>0.4229696857502131</v>
      </c>
      <c r="C36" s="438">
        <v>0.38963863052880149</v>
      </c>
      <c r="D36" s="42">
        <f ca="1">OFFSET('Exhibit 2.6.1'!$B$58,0,$A$45-$A36)</f>
        <v>1.0223333333333333</v>
      </c>
      <c r="E36" s="42">
        <f ca="1">OFFSET('Exhibit 2.6.1'!$B$61,0,$A$45-$A36)</f>
        <v>1.2920802858478859</v>
      </c>
      <c r="F36" s="42">
        <f t="shared" ca="1" si="0"/>
        <v>1.2920802858478859</v>
      </c>
      <c r="G36" s="42">
        <f t="shared" ca="1" si="1"/>
        <v>0.50344439311103262</v>
      </c>
      <c r="H36" s="42">
        <f t="shared" ca="1" si="2"/>
        <v>0.53677544833244428</v>
      </c>
      <c r="J36" s="145"/>
      <c r="K36" s="145"/>
      <c r="L36" s="145"/>
      <c r="M36" s="145"/>
      <c r="N36" s="145"/>
      <c r="O36" s="145"/>
    </row>
    <row r="37" spans="1:21">
      <c r="A37" s="41">
        <v>2010</v>
      </c>
      <c r="B37" s="53">
        <f>'Exhibit 1'!E33/'Exhibit 1'!B33</f>
        <v>0.40795158434497114</v>
      </c>
      <c r="C37" s="439">
        <v>0.37740709784330667</v>
      </c>
      <c r="D37" s="53">
        <f ca="1">OFFSET('Exhibit 2.6.1'!$B$58,0,$A$45-$A37)</f>
        <v>1.0269999999999999</v>
      </c>
      <c r="E37" s="53">
        <f ca="1">OFFSET('Exhibit 2.6.1'!$B$61,0,$A$45-$A37)</f>
        <v>1.3269664535657788</v>
      </c>
      <c r="F37" s="53">
        <f t="shared" ca="1" si="0"/>
        <v>1.3269664535657788</v>
      </c>
      <c r="G37" s="53">
        <f t="shared" ca="1" si="1"/>
        <v>0.50080655817568553</v>
      </c>
      <c r="H37" s="53">
        <f t="shared" ca="1" si="2"/>
        <v>0.53135104467734995</v>
      </c>
      <c r="J37" s="145"/>
      <c r="K37" s="145"/>
      <c r="L37" s="145"/>
      <c r="M37" s="145"/>
      <c r="N37" s="145"/>
      <c r="O37" s="145"/>
    </row>
    <row r="38" spans="1:21">
      <c r="A38" s="41">
        <v>2011</v>
      </c>
      <c r="B38" s="42">
        <f>'Exhibit 1'!E34/'Exhibit 1'!B34</f>
        <v>0.34125544189183449</v>
      </c>
      <c r="C38" s="438">
        <v>0.31925035563550003</v>
      </c>
      <c r="D38" s="42">
        <f ca="1">OFFSET('Exhibit 2.6.1'!$B$58,0,$A$45-$A38)</f>
        <v>1.028</v>
      </c>
      <c r="E38" s="42">
        <f ca="1">OFFSET('Exhibit 2.6.1'!$B$61,0,$A$45-$A38)</f>
        <v>1.3641215142656207</v>
      </c>
      <c r="F38" s="42">
        <f t="shared" ca="1" si="0"/>
        <v>1.3641215142656207</v>
      </c>
      <c r="G38" s="42">
        <f t="shared" ca="1" si="1"/>
        <v>0.4354962785593362</v>
      </c>
      <c r="H38" s="42">
        <f t="shared" ca="1" si="2"/>
        <v>0.45750136481567066</v>
      </c>
      <c r="J38" s="145"/>
      <c r="K38" s="145"/>
      <c r="L38" s="145"/>
      <c r="M38" s="145"/>
      <c r="N38" s="145"/>
      <c r="O38" s="145"/>
    </row>
    <row r="39" spans="1:21">
      <c r="A39" s="41">
        <v>2012</v>
      </c>
      <c r="B39" s="42">
        <f>'Exhibit 1'!E35/'Exhibit 1'!B35</f>
        <v>0.28357209715644199</v>
      </c>
      <c r="C39" s="438">
        <v>0.26756547867336267</v>
      </c>
      <c r="D39" s="42">
        <f ca="1">OFFSET('Exhibit 2.6.1'!$B$58,0,$A$45-$A39)</f>
        <v>1.038</v>
      </c>
      <c r="E39" s="42">
        <f ca="1">OFFSET('Exhibit 2.6.1'!$B$61,0,$A$45-$A39)</f>
        <v>1.4159581318077143</v>
      </c>
      <c r="F39" s="42">
        <f t="shared" ca="1" si="0"/>
        <v>1.4159581318077143</v>
      </c>
      <c r="G39" s="42">
        <f t="shared" ca="1" si="1"/>
        <v>0.37886151531857143</v>
      </c>
      <c r="H39" s="42">
        <f t="shared" ca="1" si="2"/>
        <v>0.39486813380165076</v>
      </c>
      <c r="J39" s="145"/>
      <c r="K39" s="145"/>
      <c r="L39" s="145"/>
      <c r="M39" s="145"/>
      <c r="N39" s="145"/>
      <c r="O39" s="145"/>
    </row>
    <row r="40" spans="1:21">
      <c r="A40" s="41">
        <v>2013</v>
      </c>
      <c r="B40" s="42">
        <f>'Exhibit 1'!E36/'Exhibit 1'!B36</f>
        <v>0.22095938554058214</v>
      </c>
      <c r="C40" s="438">
        <v>0.21053836817710214</v>
      </c>
      <c r="D40" s="42">
        <f ca="1">OFFSET('Exhibit 2.6.1'!$B$58,0,$A$45-$A40)</f>
        <v>1.056</v>
      </c>
      <c r="E40" s="42">
        <f ca="1">OFFSET('Exhibit 2.6.1'!$B$61,0,$A$45-$A40)</f>
        <v>1.4952517871889464</v>
      </c>
      <c r="F40" s="42">
        <f ca="1">OFFSET('Exhibit 2.6.1'!$B$64,0,$A$45-$A40)</f>
        <v>1.4847850246786238</v>
      </c>
      <c r="G40" s="42">
        <f t="shared" ca="1" si="1"/>
        <v>0.3126042161896358</v>
      </c>
      <c r="H40" s="42">
        <f t="shared" ca="1" si="2"/>
        <v>0.32302523355311574</v>
      </c>
      <c r="J40" s="145"/>
      <c r="K40" s="145"/>
      <c r="L40" s="145"/>
      <c r="M40" s="145"/>
      <c r="N40" s="145"/>
      <c r="O40" s="145"/>
    </row>
    <row r="41" spans="1:21">
      <c r="A41" s="41">
        <v>2014</v>
      </c>
      <c r="B41" s="42">
        <f>'Exhibit 1'!E37/'Exhibit 1'!B37</f>
        <v>0.18485272297317912</v>
      </c>
      <c r="C41" s="438">
        <v>0.17904370701460678</v>
      </c>
      <c r="D41" s="42">
        <f ca="1">OFFSET('Exhibit 2.6.1'!$B$75,0,$A$45-$A41)</f>
        <v>1.0662280858979747</v>
      </c>
      <c r="E41" s="42">
        <f ca="1">OFFSET('Exhibit 2.6.1'!$B$61,0,$A$45-$A41)</f>
        <v>1.594279450989996</v>
      </c>
      <c r="F41" s="42">
        <f ca="1">OFFSET('Exhibit 2.6.1'!$B$64,0,$A$45-$A41)</f>
        <v>1.570365259225146</v>
      </c>
      <c r="G41" s="42">
        <f t="shared" ca="1" si="1"/>
        <v>0.28116401737862406</v>
      </c>
      <c r="H41" s="42">
        <f t="shared" ca="1" si="2"/>
        <v>0.28697303333719637</v>
      </c>
      <c r="J41" s="145"/>
      <c r="K41" s="145"/>
      <c r="L41" s="145"/>
      <c r="M41" s="145"/>
      <c r="N41" s="145"/>
      <c r="O41" s="145"/>
    </row>
    <row r="42" spans="1:21">
      <c r="A42" s="41">
        <v>2015</v>
      </c>
      <c r="B42" s="42">
        <f>'Exhibit 1'!E38/'Exhibit 1'!B38</f>
        <v>0.16042926083467607</v>
      </c>
      <c r="C42" s="438">
        <v>0.15743956514059629</v>
      </c>
      <c r="D42" s="42">
        <f ca="1">OFFSET('Exhibit 2.6.1'!$B$75,0,$A$45-$A42)</f>
        <v>1.0969125868517926</v>
      </c>
      <c r="E42" s="42">
        <f ca="1">OFFSET('Exhibit 2.6.1'!$B$61,0,$A$45-$A42)</f>
        <v>1.7487851967500923</v>
      </c>
      <c r="F42" s="42">
        <f ca="1">OFFSET('Exhibit 2.6.1'!$B$64,0,$A$45-$A42)</f>
        <v>1.7050655668313399</v>
      </c>
      <c r="G42" s="42">
        <f t="shared" ca="1" si="1"/>
        <v>0.26844478137813049</v>
      </c>
      <c r="H42" s="42">
        <f t="shared" ca="1" si="2"/>
        <v>0.27143447707221025</v>
      </c>
      <c r="J42" s="145"/>
      <c r="K42" s="145"/>
      <c r="L42" s="145"/>
      <c r="M42" s="145"/>
      <c r="N42" s="145"/>
      <c r="O42" s="145"/>
    </row>
    <row r="43" spans="1:21">
      <c r="A43" s="41">
        <v>2016</v>
      </c>
      <c r="B43" s="42">
        <f>'Exhibit 1'!E39/'Exhibit 1'!B39</f>
        <v>0.13081346588904955</v>
      </c>
      <c r="C43" s="438">
        <v>0.12950362230487028</v>
      </c>
      <c r="D43" s="42">
        <f ca="1">OFFSET('Exhibit 2.6.1'!$B$75,0,$A$45-$A43)</f>
        <v>1.1728428696118753</v>
      </c>
      <c r="E43" s="42">
        <f ca="1">OFFSET('Exhibit 2.6.1'!$B$61,0,$A$45-$A43)</f>
        <v>2.0510502484911464</v>
      </c>
      <c r="F43" s="42">
        <f ca="1">OFFSET('Exhibit 2.6.1'!$B$64,0,$A$45-$A43)</f>
        <v>1.9751613892969739</v>
      </c>
      <c r="G43" s="42">
        <f t="shared" ca="1" si="1"/>
        <v>0.25579055455067817</v>
      </c>
      <c r="H43" s="42">
        <f t="shared" ca="1" si="2"/>
        <v>0.25710039813485747</v>
      </c>
      <c r="J43" s="145"/>
      <c r="K43" s="145"/>
      <c r="L43" s="145"/>
      <c r="M43" s="145"/>
      <c r="N43" s="145"/>
      <c r="O43" s="145"/>
    </row>
    <row r="44" spans="1:21">
      <c r="A44" s="41">
        <v>2017</v>
      </c>
      <c r="B44" s="42">
        <f>'Exhibit 1'!E40/'Exhibit 1'!B40</f>
        <v>0.10292663384563752</v>
      </c>
      <c r="C44" s="438">
        <v>0.10254456650288162</v>
      </c>
      <c r="D44" s="42">
        <f ca="1">OFFSET('Exhibit 2.6.1'!$B$75,0,$A$45-$A44)</f>
        <v>1.3308643456343376</v>
      </c>
      <c r="E44" s="42">
        <f ca="1">OFFSET('Exhibit 2.6.1'!$B$61,0,$A$45-$A44)</f>
        <v>2.7296696468213151</v>
      </c>
      <c r="F44" s="42">
        <f ca="1">OFFSET('Exhibit 2.6.1'!$B$64,0,$A$45-$A44)</f>
        <v>2.5986455037738918</v>
      </c>
      <c r="G44" s="42">
        <f t="shared" ca="1" si="1"/>
        <v>0.26647697667915615</v>
      </c>
      <c r="H44" s="42">
        <f t="shared" ca="1" si="2"/>
        <v>0.26685904402191202</v>
      </c>
      <c r="J44" s="145"/>
      <c r="K44" s="145"/>
      <c r="L44" s="145"/>
      <c r="M44" s="145"/>
      <c r="N44" s="145"/>
      <c r="O44" s="145"/>
    </row>
    <row r="45" spans="1:21">
      <c r="A45" s="41">
        <v>2018</v>
      </c>
      <c r="B45" s="42">
        <f>'Exhibit 1'!E41/'Exhibit 1'!B41</f>
        <v>5.9944341698945504E-2</v>
      </c>
      <c r="C45" s="438">
        <v>5.9944341698945504E-2</v>
      </c>
      <c r="D45" s="42">
        <f ca="1">OFFSET('Exhibit 2.6.1'!$B$75,0,$A$45-$A45)</f>
        <v>1.8430811366428592</v>
      </c>
      <c r="E45" s="42">
        <f ca="1">OFFSET('Exhibit 2.6.1'!$B$61,0,$A$45-$A45)</f>
        <v>5.0310026353229418</v>
      </c>
      <c r="F45" s="42">
        <f ca="1">OFFSET('Exhibit 2.6.1'!$B$64,0,$A$45-$A45)</f>
        <v>4.7895145088274402</v>
      </c>
      <c r="G45" s="42">
        <f t="shared" ca="1" si="1"/>
        <v>0.28710429428920919</v>
      </c>
      <c r="H45" s="42">
        <f t="shared" ca="1" si="2"/>
        <v>0.28710429428920919</v>
      </c>
      <c r="J45" s="145"/>
      <c r="K45" s="145"/>
      <c r="L45" s="145"/>
      <c r="M45" s="145"/>
      <c r="N45" s="145"/>
      <c r="O45" s="145"/>
    </row>
    <row r="46" spans="1:21">
      <c r="A46" s="49"/>
      <c r="B46" s="42"/>
      <c r="C46" s="42"/>
      <c r="D46" s="42"/>
      <c r="E46" s="42"/>
      <c r="F46" s="59"/>
      <c r="G46" s="42"/>
      <c r="H46" s="60"/>
    </row>
    <row r="47" spans="1:21" ht="44.25" customHeight="1">
      <c r="A47" s="45" t="s">
        <v>22</v>
      </c>
      <c r="B47" s="560" t="s">
        <v>65</v>
      </c>
      <c r="C47" s="563"/>
      <c r="D47" s="563"/>
      <c r="E47" s="563"/>
      <c r="F47" s="563"/>
      <c r="G47" s="563"/>
      <c r="H47" s="563"/>
      <c r="I47" s="157"/>
      <c r="J47" s="157"/>
      <c r="K47" s="157"/>
      <c r="L47" s="157"/>
      <c r="M47" s="157"/>
      <c r="N47" s="157"/>
      <c r="O47" s="157"/>
      <c r="P47" s="157"/>
      <c r="Q47" s="157"/>
      <c r="R47" s="157"/>
      <c r="S47" s="157"/>
      <c r="T47" s="157"/>
      <c r="U47" s="157"/>
    </row>
    <row r="48" spans="1:21" ht="30.75" customHeight="1">
      <c r="A48" s="45" t="s">
        <v>28</v>
      </c>
      <c r="B48" s="557" t="s">
        <v>413</v>
      </c>
      <c r="C48" s="557"/>
      <c r="D48" s="557"/>
      <c r="E48" s="557"/>
      <c r="F48" s="557"/>
      <c r="G48" s="557"/>
      <c r="H48" s="557"/>
      <c r="I48" s="156"/>
      <c r="J48" s="156"/>
      <c r="K48" s="156"/>
      <c r="L48" s="156"/>
      <c r="M48" s="156"/>
      <c r="N48" s="156"/>
      <c r="O48" s="156"/>
      <c r="P48" s="156"/>
      <c r="Q48" s="156"/>
      <c r="R48" s="156"/>
      <c r="S48" s="156"/>
      <c r="T48" s="156"/>
      <c r="U48" s="156"/>
    </row>
    <row r="49" spans="1:21" ht="16.149999999999999" customHeight="1">
      <c r="A49" s="45" t="s">
        <v>40</v>
      </c>
      <c r="B49" s="560" t="s">
        <v>385</v>
      </c>
      <c r="C49" s="560"/>
      <c r="D49" s="560"/>
      <c r="E49" s="560"/>
      <c r="F49" s="560"/>
      <c r="G49" s="560"/>
      <c r="H49" s="560"/>
      <c r="I49" s="156"/>
      <c r="J49" s="156"/>
      <c r="K49" s="156"/>
      <c r="L49" s="156"/>
      <c r="M49" s="156"/>
      <c r="N49" s="156"/>
      <c r="O49" s="156"/>
      <c r="P49" s="156"/>
      <c r="Q49" s="156"/>
      <c r="R49" s="156"/>
      <c r="S49" s="156"/>
      <c r="T49" s="156"/>
      <c r="U49" s="156"/>
    </row>
    <row r="50" spans="1:21" ht="41.25" customHeight="1">
      <c r="A50" s="45" t="s">
        <v>66</v>
      </c>
      <c r="B50" s="557" t="s">
        <v>421</v>
      </c>
      <c r="C50" s="561"/>
      <c r="D50" s="561"/>
      <c r="E50" s="561"/>
      <c r="F50" s="561"/>
      <c r="G50" s="561"/>
      <c r="H50" s="561"/>
      <c r="I50" s="156"/>
      <c r="J50" s="156"/>
      <c r="K50" s="156"/>
      <c r="L50" s="156"/>
      <c r="M50" s="156"/>
      <c r="N50" s="156"/>
      <c r="O50" s="156"/>
      <c r="P50" s="156"/>
    </row>
  </sheetData>
  <mergeCells count="10">
    <mergeCell ref="B48:H48"/>
    <mergeCell ref="B49:H49"/>
    <mergeCell ref="B50:H50"/>
    <mergeCell ref="A1:H1"/>
    <mergeCell ref="A2:H2"/>
    <mergeCell ref="A3:H3"/>
    <mergeCell ref="C6:H6"/>
    <mergeCell ref="B47:H47"/>
    <mergeCell ref="D7:F7"/>
    <mergeCell ref="E8:F8"/>
  </mergeCells>
  <printOptions horizontalCentered="1"/>
  <pageMargins left="0.7" right="0.7" top="0.75" bottom="0.75" header="0.3" footer="0.3"/>
  <pageSetup scale="83"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R66"/>
  <sheetViews>
    <sheetView zoomScaleNormal="100" workbookViewId="0">
      <selection sqref="A1:M1"/>
    </sheetView>
  </sheetViews>
  <sheetFormatPr defaultColWidth="9.140625" defaultRowHeight="12.75"/>
  <cols>
    <col min="1" max="1" width="3.5703125" style="270" customWidth="1"/>
    <col min="2" max="2" width="9" style="270" customWidth="1"/>
    <col min="3" max="3" width="9.140625" style="270"/>
    <col min="4" max="4" width="6.85546875" style="270" customWidth="1"/>
    <col min="5" max="5" width="11" style="270" customWidth="1"/>
    <col min="6" max="6" width="6.42578125" style="270" customWidth="1"/>
    <col min="7" max="7" width="9.140625" style="270"/>
    <col min="8" max="8" width="6.85546875" style="270" customWidth="1"/>
    <col min="9" max="9" width="11" style="270" bestFit="1" customWidth="1"/>
    <col min="10" max="10" width="6.42578125" style="270" customWidth="1"/>
    <col min="11" max="11" width="9.140625" style="270"/>
    <col min="12" max="12" width="10.42578125" style="270" customWidth="1"/>
    <col min="13" max="13" width="3.140625" style="270" customWidth="1"/>
    <col min="14" max="14" width="9.140625" style="270"/>
    <col min="15" max="17" width="11.5703125" style="270" customWidth="1"/>
    <col min="18" max="16384" width="9.140625" style="270"/>
  </cols>
  <sheetData>
    <row r="1" spans="1:18">
      <c r="A1" s="571" t="s">
        <v>69</v>
      </c>
      <c r="B1" s="571"/>
      <c r="C1" s="571"/>
      <c r="D1" s="571"/>
      <c r="E1" s="571"/>
      <c r="F1" s="571"/>
      <c r="G1" s="571"/>
      <c r="H1" s="571"/>
      <c r="I1" s="571"/>
      <c r="J1" s="571"/>
      <c r="K1" s="571"/>
      <c r="L1" s="571"/>
      <c r="M1" s="571"/>
    </row>
    <row r="2" spans="1:18">
      <c r="A2" s="274"/>
      <c r="B2" s="275"/>
      <c r="C2" s="275"/>
      <c r="D2" s="275"/>
      <c r="E2" s="275"/>
      <c r="F2" s="275"/>
      <c r="G2" s="275"/>
      <c r="H2" s="275"/>
      <c r="I2" s="275"/>
      <c r="J2" s="274"/>
      <c r="K2" s="275"/>
      <c r="L2" s="275"/>
      <c r="M2" s="275"/>
      <c r="O2" s="568" t="s">
        <v>284</v>
      </c>
      <c r="P2" s="569"/>
      <c r="Q2" s="570"/>
    </row>
    <row r="3" spans="1:18">
      <c r="A3" s="274"/>
      <c r="B3" s="274"/>
      <c r="C3" s="274"/>
      <c r="D3" s="39" t="s">
        <v>47</v>
      </c>
      <c r="E3" s="39"/>
      <c r="F3" s="39" t="s">
        <v>48</v>
      </c>
      <c r="G3" s="274"/>
      <c r="H3" s="39" t="s">
        <v>49</v>
      </c>
      <c r="I3" s="274"/>
      <c r="J3" s="39" t="s">
        <v>288</v>
      </c>
      <c r="K3" s="274"/>
      <c r="L3" s="61" t="s">
        <v>281</v>
      </c>
      <c r="M3" s="274"/>
      <c r="N3" s="61"/>
      <c r="O3" s="178" t="s">
        <v>283</v>
      </c>
      <c r="P3" s="174"/>
      <c r="Q3" s="179" t="s">
        <v>282</v>
      </c>
    </row>
    <row r="4" spans="1:18">
      <c r="A4" s="274"/>
      <c r="B4" s="274"/>
      <c r="C4" s="274"/>
      <c r="D4" s="274" t="s">
        <v>70</v>
      </c>
      <c r="E4" s="274"/>
      <c r="F4" s="39"/>
      <c r="G4" s="39"/>
      <c r="H4" s="274" t="s">
        <v>71</v>
      </c>
      <c r="I4" s="39"/>
      <c r="J4" s="274" t="s">
        <v>72</v>
      </c>
      <c r="K4" s="39"/>
      <c r="L4" s="44" t="s">
        <v>73</v>
      </c>
      <c r="M4" s="274"/>
      <c r="O4" s="180" t="s">
        <v>72</v>
      </c>
      <c r="P4" s="393"/>
      <c r="Q4" s="181" t="s">
        <v>73</v>
      </c>
    </row>
    <row r="5" spans="1:18">
      <c r="A5" s="274"/>
      <c r="B5" s="274"/>
      <c r="C5" s="274"/>
      <c r="D5" s="274" t="s">
        <v>74</v>
      </c>
      <c r="E5" s="274"/>
      <c r="F5" s="274"/>
      <c r="G5" s="274"/>
      <c r="H5" s="274" t="s">
        <v>75</v>
      </c>
      <c r="I5" s="274"/>
      <c r="J5" s="274" t="s">
        <v>76</v>
      </c>
      <c r="K5" s="274"/>
      <c r="L5" s="44" t="s">
        <v>3</v>
      </c>
      <c r="M5" s="274"/>
      <c r="O5" s="180" t="s">
        <v>76</v>
      </c>
      <c r="P5" s="393"/>
      <c r="Q5" s="181" t="s">
        <v>3</v>
      </c>
    </row>
    <row r="6" spans="1:18">
      <c r="A6" s="274"/>
      <c r="B6" s="274" t="s">
        <v>60</v>
      </c>
      <c r="C6" s="55"/>
      <c r="D6" s="55" t="s">
        <v>77</v>
      </c>
      <c r="E6" s="55"/>
      <c r="F6" s="55" t="s">
        <v>77</v>
      </c>
      <c r="G6" s="55"/>
      <c r="H6" s="55" t="s">
        <v>78</v>
      </c>
      <c r="I6" s="55"/>
      <c r="J6" s="55" t="s">
        <v>79</v>
      </c>
      <c r="K6" s="55"/>
      <c r="L6" s="55" t="s">
        <v>80</v>
      </c>
      <c r="M6" s="55"/>
      <c r="O6" s="182" t="s">
        <v>79</v>
      </c>
      <c r="P6" s="393"/>
      <c r="Q6" s="183" t="s">
        <v>80</v>
      </c>
    </row>
    <row r="7" spans="1:18">
      <c r="A7" s="38"/>
      <c r="B7" s="38" t="s">
        <v>8</v>
      </c>
      <c r="C7" s="38"/>
      <c r="D7" s="38" t="s">
        <v>81</v>
      </c>
      <c r="E7" s="38"/>
      <c r="F7" s="38" t="s">
        <v>81</v>
      </c>
      <c r="G7" s="38"/>
      <c r="H7" s="38" t="s">
        <v>82</v>
      </c>
      <c r="I7" s="38"/>
      <c r="J7" s="38" t="s">
        <v>83</v>
      </c>
      <c r="K7" s="38"/>
      <c r="L7" s="62" t="s">
        <v>84</v>
      </c>
      <c r="M7" s="38"/>
      <c r="O7" s="184" t="s">
        <v>3</v>
      </c>
      <c r="P7" s="393"/>
      <c r="Q7" s="185" t="s">
        <v>278</v>
      </c>
    </row>
    <row r="8" spans="1:18">
      <c r="A8" s="274"/>
      <c r="B8" s="274"/>
      <c r="C8" s="274"/>
      <c r="D8" s="63"/>
      <c r="E8" s="63"/>
      <c r="F8" s="63"/>
      <c r="G8" s="274"/>
      <c r="H8" s="64"/>
      <c r="I8" s="274"/>
      <c r="J8" s="275"/>
      <c r="K8" s="274"/>
      <c r="L8" s="44"/>
      <c r="M8" s="274"/>
      <c r="O8" s="265"/>
      <c r="P8" s="393"/>
      <c r="Q8" s="288"/>
    </row>
    <row r="9" spans="1:18" hidden="1">
      <c r="A9" s="274"/>
      <c r="B9" s="274">
        <v>1985</v>
      </c>
      <c r="C9" s="274"/>
      <c r="D9" s="289">
        <v>0</v>
      </c>
      <c r="E9" s="63"/>
      <c r="F9" s="289">
        <v>0</v>
      </c>
      <c r="G9" s="274"/>
      <c r="H9" s="289">
        <v>2</v>
      </c>
      <c r="I9" s="64"/>
      <c r="J9" s="289">
        <v>2.0000000000000018</v>
      </c>
      <c r="K9" s="274"/>
      <c r="L9" s="48">
        <v>1.5924512081382429</v>
      </c>
      <c r="M9" s="274"/>
      <c r="O9" s="186">
        <v>2.0000000000000018</v>
      </c>
      <c r="P9" s="391"/>
      <c r="Q9" s="187">
        <v>2.1243354694734049</v>
      </c>
      <c r="R9" s="70"/>
    </row>
    <row r="10" spans="1:18">
      <c r="A10" s="274"/>
      <c r="B10" s="274">
        <v>1986</v>
      </c>
      <c r="C10" s="274"/>
      <c r="D10" s="441">
        <v>0</v>
      </c>
      <c r="E10" s="442"/>
      <c r="F10" s="441">
        <v>0</v>
      </c>
      <c r="G10" s="416"/>
      <c r="H10" s="441">
        <v>1.6</v>
      </c>
      <c r="I10" s="443"/>
      <c r="J10" s="64">
        <f t="shared" ref="J10:J45" si="0">+(((1+D10/100)*(1+F10/100)*(1+H10/100)-1))*100</f>
        <v>1.6000000000000014</v>
      </c>
      <c r="K10" s="392"/>
      <c r="L10" s="48">
        <f t="shared" ref="L10:L24" si="1">L11*(1+J11/100)</f>
        <v>1.5673732363565382</v>
      </c>
      <c r="M10" s="274"/>
      <c r="O10" s="186">
        <f t="shared" ref="O10:O45" si="2">+(((1+D10/100)*(1+H10/100)-1))*100</f>
        <v>1.6000000000000014</v>
      </c>
      <c r="P10" s="391"/>
      <c r="Q10" s="187">
        <f t="shared" ref="Q10:Q40" si="3">Q11*(1+O11/100)</f>
        <v>2.0908813675919338</v>
      </c>
      <c r="R10" s="70"/>
    </row>
    <row r="11" spans="1:18">
      <c r="A11" s="274"/>
      <c r="B11" s="274">
        <v>1987</v>
      </c>
      <c r="C11" s="274"/>
      <c r="D11" s="441">
        <v>0</v>
      </c>
      <c r="E11" s="442"/>
      <c r="F11" s="441">
        <v>0</v>
      </c>
      <c r="G11" s="416"/>
      <c r="H11" s="441">
        <v>1.9</v>
      </c>
      <c r="I11" s="443"/>
      <c r="J11" s="289">
        <f t="shared" si="0"/>
        <v>1.8999999999999906</v>
      </c>
      <c r="K11" s="392"/>
      <c r="L11" s="48">
        <f t="shared" si="1"/>
        <v>1.5381484164441004</v>
      </c>
      <c r="M11" s="274"/>
      <c r="O11" s="186">
        <f t="shared" si="2"/>
        <v>1.8999999999999906</v>
      </c>
      <c r="P11" s="391"/>
      <c r="Q11" s="187">
        <f t="shared" si="3"/>
        <v>2.0518953558311424</v>
      </c>
      <c r="R11" s="70"/>
    </row>
    <row r="12" spans="1:18">
      <c r="A12" s="274"/>
      <c r="B12" s="274">
        <v>1988</v>
      </c>
      <c r="C12" s="274"/>
      <c r="D12" s="441">
        <v>0</v>
      </c>
      <c r="E12" s="442"/>
      <c r="F12" s="441">
        <v>0</v>
      </c>
      <c r="G12" s="416"/>
      <c r="H12" s="441">
        <v>1.5</v>
      </c>
      <c r="I12" s="443"/>
      <c r="J12" s="289">
        <f t="shared" si="0"/>
        <v>1.4999999999999902</v>
      </c>
      <c r="K12" s="392"/>
      <c r="L12" s="48">
        <f t="shared" si="1"/>
        <v>1.515417159058227</v>
      </c>
      <c r="M12" s="274"/>
      <c r="O12" s="186">
        <f t="shared" si="2"/>
        <v>1.4999999999999902</v>
      </c>
      <c r="P12" s="391"/>
      <c r="Q12" s="187">
        <f t="shared" si="3"/>
        <v>2.0215717791439829</v>
      </c>
      <c r="R12" s="70"/>
    </row>
    <row r="13" spans="1:18">
      <c r="A13" s="274"/>
      <c r="B13" s="274">
        <v>1989</v>
      </c>
      <c r="C13" s="274"/>
      <c r="D13" s="441">
        <v>0</v>
      </c>
      <c r="E13" s="442"/>
      <c r="F13" s="441">
        <v>0</v>
      </c>
      <c r="G13" s="416"/>
      <c r="H13" s="441">
        <v>1.5</v>
      </c>
      <c r="I13" s="443"/>
      <c r="J13" s="289">
        <f t="shared" si="0"/>
        <v>1.4999999999999902</v>
      </c>
      <c r="K13" s="392"/>
      <c r="L13" s="48">
        <f t="shared" si="1"/>
        <v>1.4930218315844603</v>
      </c>
      <c r="M13" s="274"/>
      <c r="O13" s="186">
        <f t="shared" si="2"/>
        <v>1.4999999999999902</v>
      </c>
      <c r="P13" s="391"/>
      <c r="Q13" s="187">
        <f t="shared" si="3"/>
        <v>1.9916963341320031</v>
      </c>
      <c r="R13" s="70"/>
    </row>
    <row r="14" spans="1:18">
      <c r="A14" s="274"/>
      <c r="B14" s="274">
        <v>1990</v>
      </c>
      <c r="C14" s="274"/>
      <c r="D14" s="441">
        <v>2.2999999999999998</v>
      </c>
      <c r="E14" s="442"/>
      <c r="F14" s="441">
        <v>19.899999999999999</v>
      </c>
      <c r="G14" s="416"/>
      <c r="H14" s="441">
        <v>1.7</v>
      </c>
      <c r="I14" s="443"/>
      <c r="J14" s="289">
        <f t="shared" si="0"/>
        <v>24.742880899999985</v>
      </c>
      <c r="K14" s="392"/>
      <c r="L14" s="48">
        <f t="shared" si="1"/>
        <v>1.1968793896794319</v>
      </c>
      <c r="M14" s="274"/>
      <c r="O14" s="186">
        <f t="shared" si="2"/>
        <v>4.0390999999999844</v>
      </c>
      <c r="P14" s="391"/>
      <c r="Q14" s="187">
        <f t="shared" si="3"/>
        <v>1.9143728983930113</v>
      </c>
      <c r="R14" s="70"/>
    </row>
    <row r="15" spans="1:18">
      <c r="A15" s="274"/>
      <c r="B15" s="274">
        <v>1991</v>
      </c>
      <c r="C15" s="274"/>
      <c r="D15" s="441">
        <v>4.9000000000000004</v>
      </c>
      <c r="E15" s="442"/>
      <c r="F15" s="441">
        <v>14.8</v>
      </c>
      <c r="G15" s="416"/>
      <c r="H15" s="441">
        <v>0.8</v>
      </c>
      <c r="I15" s="443"/>
      <c r="J15" s="289">
        <f t="shared" si="0"/>
        <v>21.388601600000001</v>
      </c>
      <c r="K15" s="392"/>
      <c r="L15" s="48">
        <f t="shared" si="1"/>
        <v>0.98598993142979896</v>
      </c>
      <c r="M15" s="274"/>
      <c r="O15" s="186">
        <f t="shared" si="2"/>
        <v>5.7391999999999888</v>
      </c>
      <c r="P15" s="391"/>
      <c r="Q15" s="187">
        <f t="shared" si="3"/>
        <v>1.8104665993245754</v>
      </c>
      <c r="R15" s="70"/>
    </row>
    <row r="16" spans="1:18">
      <c r="A16" s="274"/>
      <c r="B16" s="274">
        <v>1992</v>
      </c>
      <c r="C16" s="274"/>
      <c r="D16" s="441">
        <v>1.8</v>
      </c>
      <c r="E16" s="442"/>
      <c r="F16" s="441">
        <v>-8.3000000000000007</v>
      </c>
      <c r="G16" s="416"/>
      <c r="H16" s="441">
        <v>1.6</v>
      </c>
      <c r="I16" s="443"/>
      <c r="J16" s="289">
        <f t="shared" si="0"/>
        <v>-5.1557903999999937</v>
      </c>
      <c r="K16" s="392"/>
      <c r="L16" s="48">
        <f t="shared" si="1"/>
        <v>1.0395889591870233</v>
      </c>
      <c r="M16" s="274"/>
      <c r="O16" s="186">
        <f t="shared" si="2"/>
        <v>3.4288000000000096</v>
      </c>
      <c r="P16" s="391"/>
      <c r="Q16" s="187">
        <f t="shared" si="3"/>
        <v>1.7504472635519075</v>
      </c>
      <c r="R16" s="70"/>
    </row>
    <row r="17" spans="1:18">
      <c r="A17" s="274"/>
      <c r="B17" s="274">
        <v>1993</v>
      </c>
      <c r="C17" s="274"/>
      <c r="D17" s="441">
        <v>0.2</v>
      </c>
      <c r="E17" s="442"/>
      <c r="F17" s="441">
        <v>-18.100000000000001</v>
      </c>
      <c r="G17" s="416"/>
      <c r="H17" s="441">
        <v>0.4</v>
      </c>
      <c r="I17" s="443"/>
      <c r="J17" s="289">
        <f t="shared" si="0"/>
        <v>-17.607944799999999</v>
      </c>
      <c r="K17" s="392"/>
      <c r="L17" s="48">
        <f t="shared" si="1"/>
        <v>1.2617587419848988</v>
      </c>
      <c r="M17" s="274"/>
      <c r="O17" s="186">
        <f t="shared" si="2"/>
        <v>0.60080000000000133</v>
      </c>
      <c r="P17" s="391"/>
      <c r="Q17" s="187">
        <f t="shared" si="3"/>
        <v>1.739993383305011</v>
      </c>
      <c r="R17" s="70"/>
    </row>
    <row r="18" spans="1:18">
      <c r="A18" s="274"/>
      <c r="B18" s="274">
        <v>1994</v>
      </c>
      <c r="C18" s="274"/>
      <c r="D18" s="441">
        <v>-5.0999999999999996</v>
      </c>
      <c r="E18" s="442"/>
      <c r="F18" s="441">
        <v>0.2</v>
      </c>
      <c r="G18" s="416"/>
      <c r="H18" s="441">
        <v>0.6</v>
      </c>
      <c r="I18" s="443"/>
      <c r="J18" s="289">
        <f t="shared" si="0"/>
        <v>-4.3396612000000108</v>
      </c>
      <c r="K18" s="392"/>
      <c r="L18" s="48">
        <f t="shared" si="1"/>
        <v>1.3189988220958495</v>
      </c>
      <c r="M18" s="274"/>
      <c r="O18" s="186">
        <f t="shared" si="2"/>
        <v>-4.5306000000000068</v>
      </c>
      <c r="P18" s="391"/>
      <c r="Q18" s="187">
        <f t="shared" si="3"/>
        <v>1.8225665850052595</v>
      </c>
      <c r="R18" s="70"/>
    </row>
    <row r="19" spans="1:18">
      <c r="A19" s="274"/>
      <c r="B19" s="274">
        <v>1995</v>
      </c>
      <c r="C19" s="274"/>
      <c r="D19" s="441">
        <v>6.3</v>
      </c>
      <c r="E19" s="442"/>
      <c r="F19" s="441">
        <v>0.6</v>
      </c>
      <c r="G19" s="416"/>
      <c r="H19" s="441">
        <v>1</v>
      </c>
      <c r="I19" s="443"/>
      <c r="J19" s="289">
        <f t="shared" si="0"/>
        <v>8.0071779999999926</v>
      </c>
      <c r="K19" s="392"/>
      <c r="L19" s="48">
        <f t="shared" si="1"/>
        <v>1.2212140401407854</v>
      </c>
      <c r="M19" s="274"/>
      <c r="O19" s="186">
        <f t="shared" si="2"/>
        <v>7.3629999999999862</v>
      </c>
      <c r="P19" s="391"/>
      <c r="Q19" s="187">
        <f t="shared" si="3"/>
        <v>1.6975741968883691</v>
      </c>
      <c r="R19" s="70"/>
    </row>
    <row r="20" spans="1:18">
      <c r="A20" s="274"/>
      <c r="B20" s="274">
        <v>1996</v>
      </c>
      <c r="C20" s="274"/>
      <c r="D20" s="441">
        <v>5.3</v>
      </c>
      <c r="E20" s="442"/>
      <c r="F20" s="441">
        <v>0.4</v>
      </c>
      <c r="G20" s="416"/>
      <c r="H20" s="441">
        <v>1.2</v>
      </c>
      <c r="I20" s="443"/>
      <c r="J20" s="289">
        <f t="shared" si="0"/>
        <v>6.9898543999999951</v>
      </c>
      <c r="K20" s="392"/>
      <c r="L20" s="48">
        <f t="shared" si="1"/>
        <v>1.1414297617184022</v>
      </c>
      <c r="M20" s="274"/>
      <c r="O20" s="186">
        <f t="shared" si="2"/>
        <v>6.5636000000000028</v>
      </c>
      <c r="P20" s="391"/>
      <c r="Q20" s="187">
        <f t="shared" si="3"/>
        <v>1.5930150603849429</v>
      </c>
      <c r="R20" s="70"/>
    </row>
    <row r="21" spans="1:18">
      <c r="A21" s="274"/>
      <c r="B21" s="274">
        <v>1997</v>
      </c>
      <c r="C21" s="274"/>
      <c r="D21" s="441">
        <v>9.6999999999999993</v>
      </c>
      <c r="E21" s="442"/>
      <c r="F21" s="441">
        <v>0.2</v>
      </c>
      <c r="G21" s="416"/>
      <c r="H21" s="441">
        <v>1.6</v>
      </c>
      <c r="I21" s="443"/>
      <c r="J21" s="289">
        <f t="shared" si="0"/>
        <v>11.678110399999998</v>
      </c>
      <c r="K21" s="392"/>
      <c r="L21" s="48">
        <f t="shared" si="1"/>
        <v>1.0220711629433177</v>
      </c>
      <c r="M21" s="274"/>
      <c r="O21" s="186">
        <f t="shared" si="2"/>
        <v>11.455199999999998</v>
      </c>
      <c r="P21" s="391"/>
      <c r="Q21" s="187">
        <f t="shared" si="3"/>
        <v>1.4292873373202353</v>
      </c>
      <c r="R21" s="70"/>
    </row>
    <row r="22" spans="1:18">
      <c r="A22" s="274"/>
      <c r="B22" s="274">
        <v>1998</v>
      </c>
      <c r="C22" s="274"/>
      <c r="D22" s="441">
        <v>6.5</v>
      </c>
      <c r="E22" s="442"/>
      <c r="F22" s="441">
        <v>0</v>
      </c>
      <c r="G22" s="416"/>
      <c r="H22" s="441">
        <v>1.8</v>
      </c>
      <c r="I22" s="443"/>
      <c r="J22" s="289">
        <f t="shared" si="0"/>
        <v>8.4169999999999856</v>
      </c>
      <c r="K22" s="392"/>
      <c r="L22" s="48">
        <f t="shared" si="1"/>
        <v>0.94272223262340571</v>
      </c>
      <c r="M22" s="274"/>
      <c r="O22" s="186">
        <f t="shared" si="2"/>
        <v>8.4169999999999856</v>
      </c>
      <c r="P22" s="391"/>
      <c r="Q22" s="187">
        <f t="shared" si="3"/>
        <v>1.3183240057557721</v>
      </c>
      <c r="R22" s="70"/>
    </row>
    <row r="23" spans="1:18">
      <c r="A23" s="274"/>
      <c r="B23" s="274">
        <v>1999</v>
      </c>
      <c r="C23" s="274"/>
      <c r="D23" s="441">
        <v>5.7</v>
      </c>
      <c r="E23" s="442"/>
      <c r="F23" s="441">
        <v>0</v>
      </c>
      <c r="G23" s="416"/>
      <c r="H23" s="441">
        <v>2.1</v>
      </c>
      <c r="I23" s="443"/>
      <c r="J23" s="289">
        <f t="shared" si="0"/>
        <v>7.919699999999974</v>
      </c>
      <c r="K23" s="392"/>
      <c r="L23" s="48">
        <f t="shared" si="1"/>
        <v>0.87354044963376098</v>
      </c>
      <c r="M23" s="274"/>
      <c r="O23" s="186">
        <f t="shared" si="2"/>
        <v>7.919699999999974</v>
      </c>
      <c r="P23" s="391"/>
      <c r="Q23" s="187">
        <f t="shared" si="3"/>
        <v>1.2215786420419743</v>
      </c>
      <c r="R23" s="70"/>
    </row>
    <row r="24" spans="1:18">
      <c r="A24" s="274"/>
      <c r="B24" s="274">
        <v>2000</v>
      </c>
      <c r="C24" s="274"/>
      <c r="D24" s="441">
        <v>3.9</v>
      </c>
      <c r="E24" s="444"/>
      <c r="F24" s="441">
        <v>0</v>
      </c>
      <c r="G24" s="416"/>
      <c r="H24" s="441">
        <v>3.1</v>
      </c>
      <c r="I24" s="443"/>
      <c r="J24" s="289">
        <f t="shared" si="0"/>
        <v>7.1208999999999856</v>
      </c>
      <c r="K24" s="392"/>
      <c r="L24" s="48">
        <f t="shared" si="1"/>
        <v>0.8154715369584844</v>
      </c>
      <c r="M24" s="274"/>
      <c r="O24" s="186">
        <f t="shared" si="2"/>
        <v>7.1208999999999856</v>
      </c>
      <c r="P24" s="391"/>
      <c r="Q24" s="187">
        <f t="shared" si="3"/>
        <v>1.1403737665030582</v>
      </c>
      <c r="R24" s="70"/>
    </row>
    <row r="25" spans="1:18">
      <c r="A25" s="274"/>
      <c r="B25" s="274">
        <v>2001</v>
      </c>
      <c r="C25" s="274"/>
      <c r="D25" s="441">
        <v>-0.3</v>
      </c>
      <c r="E25" s="444"/>
      <c r="F25" s="441">
        <v>0</v>
      </c>
      <c r="G25" s="416"/>
      <c r="H25" s="441">
        <v>0.2</v>
      </c>
      <c r="I25" s="443"/>
      <c r="J25" s="289">
        <f t="shared" si="0"/>
        <v>-0.10059999999999514</v>
      </c>
      <c r="K25" s="392"/>
      <c r="L25" s="44">
        <f>+(J27/100+1)*(J28/100+1)*(J29/100+1)*(J26/100+1)*L29</f>
        <v>0.81629272744229131</v>
      </c>
      <c r="M25" s="274"/>
      <c r="O25" s="186">
        <f t="shared" si="2"/>
        <v>-0.10059999999999514</v>
      </c>
      <c r="P25" s="391"/>
      <c r="Q25" s="187">
        <f t="shared" si="3"/>
        <v>1.1415221377736584</v>
      </c>
      <c r="R25" s="70"/>
    </row>
    <row r="26" spans="1:18">
      <c r="A26" s="274"/>
      <c r="B26" s="274">
        <v>2002</v>
      </c>
      <c r="C26" s="274"/>
      <c r="D26" s="441">
        <v>-0.7</v>
      </c>
      <c r="E26" s="444"/>
      <c r="F26" s="441">
        <v>0</v>
      </c>
      <c r="G26" s="416"/>
      <c r="H26" s="441">
        <v>0.4</v>
      </c>
      <c r="I26" s="443"/>
      <c r="J26" s="289">
        <f t="shared" si="0"/>
        <v>-0.30280000000000307</v>
      </c>
      <c r="K26" s="392"/>
      <c r="L26" s="42">
        <f>+L29*(1+J28/100)*(1+J27/100)*(1+E55)</f>
        <v>0.83611208614077059</v>
      </c>
      <c r="M26" s="65" t="s">
        <v>43</v>
      </c>
      <c r="O26" s="186">
        <f t="shared" si="2"/>
        <v>-0.30280000000000307</v>
      </c>
      <c r="P26" s="391"/>
      <c r="Q26" s="187">
        <f t="shared" si="3"/>
        <v>1.1449891649651729</v>
      </c>
      <c r="R26" s="70"/>
    </row>
    <row r="27" spans="1:18">
      <c r="A27" s="274"/>
      <c r="B27" s="274">
        <v>2003</v>
      </c>
      <c r="C27" s="274"/>
      <c r="D27" s="441">
        <v>7.3436000000000057</v>
      </c>
      <c r="E27" s="444"/>
      <c r="F27" s="441">
        <v>0</v>
      </c>
      <c r="G27" s="416"/>
      <c r="H27" s="441">
        <v>1.2</v>
      </c>
      <c r="I27" s="443"/>
      <c r="J27" s="289">
        <f t="shared" si="0"/>
        <v>8.6317232000000068</v>
      </c>
      <c r="K27" s="392"/>
      <c r="L27" s="42">
        <f>+L29*(1+J28/100)*(1+E56)</f>
        <v>0.83352498531164998</v>
      </c>
      <c r="M27" s="65" t="s">
        <v>43</v>
      </c>
      <c r="O27" s="186">
        <f t="shared" si="2"/>
        <v>8.6317232000000068</v>
      </c>
      <c r="P27" s="391"/>
      <c r="Q27" s="187">
        <f t="shared" si="3"/>
        <v>1.0540099440907817</v>
      </c>
      <c r="R27" s="70"/>
    </row>
    <row r="28" spans="1:18">
      <c r="A28" s="274"/>
      <c r="B28" s="274">
        <v>2004</v>
      </c>
      <c r="C28" s="274"/>
      <c r="D28" s="441">
        <v>-5.9782388663967678</v>
      </c>
      <c r="E28" s="444"/>
      <c r="F28" s="441">
        <v>-13.7</v>
      </c>
      <c r="G28" s="416"/>
      <c r="H28" s="441">
        <v>2.1</v>
      </c>
      <c r="I28" s="443"/>
      <c r="J28" s="289">
        <f t="shared" si="0"/>
        <v>-17.155263764676132</v>
      </c>
      <c r="K28" s="392"/>
      <c r="L28" s="42">
        <f>+L29*(1+E57)</f>
        <v>1.1410031585220195</v>
      </c>
      <c r="M28" s="65" t="s">
        <v>43</v>
      </c>
      <c r="O28" s="186">
        <f t="shared" si="2"/>
        <v>-4.003781882591106</v>
      </c>
      <c r="P28" s="391"/>
      <c r="Q28" s="187">
        <f t="shared" si="3"/>
        <v>1.097970279205861</v>
      </c>
      <c r="R28" s="70"/>
    </row>
    <row r="29" spans="1:18">
      <c r="A29" s="274"/>
      <c r="B29" s="274">
        <v>2005</v>
      </c>
      <c r="C29" s="274"/>
      <c r="D29" s="441">
        <v>-31.634572864321608</v>
      </c>
      <c r="E29" s="444"/>
      <c r="F29" s="441">
        <v>-15.3</v>
      </c>
      <c r="G29" s="416"/>
      <c r="H29" s="441">
        <v>1.6</v>
      </c>
      <c r="I29" s="443"/>
      <c r="J29" s="289">
        <f t="shared" si="0"/>
        <v>-41.167994947537693</v>
      </c>
      <c r="K29" s="392"/>
      <c r="L29" s="48">
        <f t="shared" ref="L29:L39" si="4">L30*(1+J30/100)</f>
        <v>1.5464209616252025</v>
      </c>
      <c r="M29" s="66"/>
      <c r="O29" s="186">
        <f t="shared" si="2"/>
        <v>-30.540726030150754</v>
      </c>
      <c r="P29" s="391"/>
      <c r="Q29" s="187">
        <f t="shared" si="3"/>
        <v>1.5807396427472968</v>
      </c>
      <c r="R29" s="70"/>
    </row>
    <row r="30" spans="1:18">
      <c r="A30" s="274"/>
      <c r="B30" s="274">
        <v>2006</v>
      </c>
      <c r="C30" s="274"/>
      <c r="D30" s="441">
        <v>5.6</v>
      </c>
      <c r="E30" s="442"/>
      <c r="F30" s="441">
        <v>-5.7</v>
      </c>
      <c r="G30" s="416"/>
      <c r="H30" s="441">
        <v>2.2000000000000002</v>
      </c>
      <c r="I30" s="443"/>
      <c r="J30" s="289">
        <f t="shared" si="0"/>
        <v>1.7715775999999961</v>
      </c>
      <c r="K30" s="392"/>
      <c r="L30" s="48">
        <f t="shared" si="4"/>
        <v>1.5195018079637221</v>
      </c>
      <c r="M30" s="274"/>
      <c r="O30" s="186">
        <f t="shared" si="2"/>
        <v>7.9231999999999969</v>
      </c>
      <c r="P30" s="391"/>
      <c r="Q30" s="187">
        <f t="shared" si="3"/>
        <v>1.4646893742469616</v>
      </c>
      <c r="R30" s="70"/>
    </row>
    <row r="31" spans="1:18">
      <c r="A31" s="274"/>
      <c r="B31" s="274">
        <v>2007</v>
      </c>
      <c r="C31" s="274"/>
      <c r="D31" s="441">
        <v>1.6</v>
      </c>
      <c r="E31" s="442"/>
      <c r="F31" s="441">
        <v>0</v>
      </c>
      <c r="G31" s="416"/>
      <c r="H31" s="441">
        <v>2.1</v>
      </c>
      <c r="I31" s="416"/>
      <c r="J31" s="289">
        <f t="shared" si="0"/>
        <v>3.7335999999999814</v>
      </c>
      <c r="K31" s="392"/>
      <c r="L31" s="48">
        <f t="shared" si="4"/>
        <v>1.4648116019917581</v>
      </c>
      <c r="M31" s="274"/>
      <c r="O31" s="186">
        <f t="shared" si="2"/>
        <v>3.7335999999999814</v>
      </c>
      <c r="P31" s="391"/>
      <c r="Q31" s="187">
        <f t="shared" si="3"/>
        <v>1.4119719880992869</v>
      </c>
      <c r="R31" s="70"/>
    </row>
    <row r="32" spans="1:18">
      <c r="A32" s="274"/>
      <c r="B32" s="274">
        <v>2008</v>
      </c>
      <c r="C32" s="274"/>
      <c r="D32" s="441">
        <v>4.8</v>
      </c>
      <c r="E32" s="445"/>
      <c r="F32" s="441">
        <v>0.6</v>
      </c>
      <c r="G32" s="416"/>
      <c r="H32" s="441">
        <v>1</v>
      </c>
      <c r="I32" s="416"/>
      <c r="J32" s="289">
        <f t="shared" si="0"/>
        <v>6.4830880000000146</v>
      </c>
      <c r="K32" s="392"/>
      <c r="L32" s="48">
        <f t="shared" si="4"/>
        <v>1.3756284021287568</v>
      </c>
      <c r="M32" s="274"/>
      <c r="O32" s="186">
        <f t="shared" si="2"/>
        <v>5.8480000000000087</v>
      </c>
      <c r="P32" s="391"/>
      <c r="Q32" s="187">
        <f t="shared" si="3"/>
        <v>1.3339618963979356</v>
      </c>
      <c r="R32" s="70"/>
    </row>
    <row r="33" spans="1:18">
      <c r="A33" s="274"/>
      <c r="B33" s="274">
        <v>2009</v>
      </c>
      <c r="D33" s="441">
        <v>0.4</v>
      </c>
      <c r="E33" s="442"/>
      <c r="F33" s="441">
        <v>1.4</v>
      </c>
      <c r="G33" s="409"/>
      <c r="H33" s="441">
        <v>0.2</v>
      </c>
      <c r="I33" s="416"/>
      <c r="J33" s="289">
        <f t="shared" si="0"/>
        <v>2.0092112000000162</v>
      </c>
      <c r="K33" s="392"/>
      <c r="L33" s="48">
        <f t="shared" si="4"/>
        <v>1.3485335156956459</v>
      </c>
      <c r="M33" s="274"/>
      <c r="O33" s="186">
        <f t="shared" si="2"/>
        <v>0.60080000000000133</v>
      </c>
      <c r="P33" s="391"/>
      <c r="Q33" s="187">
        <f t="shared" si="3"/>
        <v>1.3259953165361862</v>
      </c>
      <c r="R33" s="70"/>
    </row>
    <row r="34" spans="1:18">
      <c r="A34" s="274"/>
      <c r="B34" s="274">
        <v>2010</v>
      </c>
      <c r="C34" s="274"/>
      <c r="D34" s="441">
        <v>0.4</v>
      </c>
      <c r="E34" s="442"/>
      <c r="F34" s="441">
        <v>0</v>
      </c>
      <c r="G34" s="416"/>
      <c r="H34" s="441">
        <v>1.5</v>
      </c>
      <c r="I34" s="416"/>
      <c r="J34" s="289">
        <f t="shared" si="0"/>
        <v>1.9059999999999855</v>
      </c>
      <c r="K34" s="392"/>
      <c r="L34" s="48">
        <f t="shared" si="4"/>
        <v>1.3233112041446491</v>
      </c>
      <c r="M34" s="274"/>
      <c r="O34" s="186">
        <f t="shared" si="2"/>
        <v>1.9059999999999855</v>
      </c>
      <c r="P34" s="391"/>
      <c r="Q34" s="187">
        <f t="shared" si="3"/>
        <v>1.3011945484428653</v>
      </c>
      <c r="R34" s="70"/>
    </row>
    <row r="35" spans="1:18">
      <c r="A35" s="274"/>
      <c r="B35" s="274">
        <v>2011</v>
      </c>
      <c r="C35" s="274"/>
      <c r="D35" s="441">
        <v>0</v>
      </c>
      <c r="E35" s="442"/>
      <c r="F35" s="441">
        <v>0</v>
      </c>
      <c r="G35" s="416"/>
      <c r="H35" s="441">
        <v>1.4</v>
      </c>
      <c r="I35" s="416"/>
      <c r="J35" s="289">
        <f t="shared" si="0"/>
        <v>1.4000000000000012</v>
      </c>
      <c r="K35" s="392"/>
      <c r="L35" s="48">
        <f t="shared" si="4"/>
        <v>1.3050406352511332</v>
      </c>
      <c r="M35" s="65"/>
      <c r="O35" s="186">
        <f t="shared" si="2"/>
        <v>1.4000000000000012</v>
      </c>
      <c r="P35" s="391"/>
      <c r="Q35" s="187">
        <f t="shared" si="3"/>
        <v>1.2832293377148574</v>
      </c>
      <c r="R35" s="70"/>
    </row>
    <row r="36" spans="1:18">
      <c r="A36" s="274"/>
      <c r="B36" s="274">
        <v>2012</v>
      </c>
      <c r="C36" s="274"/>
      <c r="D36" s="441">
        <v>-0.82837500000000341</v>
      </c>
      <c r="E36" s="445"/>
      <c r="F36" s="441">
        <v>0</v>
      </c>
      <c r="G36" s="416"/>
      <c r="H36" s="441">
        <v>2.1</v>
      </c>
      <c r="I36" s="446"/>
      <c r="J36" s="289">
        <f t="shared" si="0"/>
        <v>1.2542291249999948</v>
      </c>
      <c r="K36" s="392"/>
      <c r="L36" s="48">
        <f t="shared" si="4"/>
        <v>1.2888751872675257</v>
      </c>
      <c r="M36" s="65"/>
      <c r="O36" s="186">
        <f t="shared" si="2"/>
        <v>1.2542291249999948</v>
      </c>
      <c r="P36" s="391"/>
      <c r="Q36" s="187">
        <f t="shared" si="3"/>
        <v>1.2673340647635467</v>
      </c>
      <c r="R36" s="70"/>
    </row>
    <row r="37" spans="1:18">
      <c r="A37" s="274"/>
      <c r="B37" s="274">
        <v>2013</v>
      </c>
      <c r="C37" s="274"/>
      <c r="D37" s="441">
        <v>1.4457500000000012</v>
      </c>
      <c r="E37" s="445"/>
      <c r="F37" s="441">
        <v>0.2</v>
      </c>
      <c r="G37" s="416"/>
      <c r="H37" s="441">
        <v>0.6</v>
      </c>
      <c r="I37" s="446"/>
      <c r="J37" s="289">
        <f t="shared" si="0"/>
        <v>2.2585333489999915</v>
      </c>
      <c r="K37" s="392"/>
      <c r="L37" s="48">
        <f t="shared" si="4"/>
        <v>1.2604084422653514</v>
      </c>
      <c r="M37" s="65"/>
      <c r="O37" s="186">
        <f t="shared" si="2"/>
        <v>2.0544244999999961</v>
      </c>
      <c r="P37" s="391"/>
      <c r="Q37" s="187">
        <f t="shared" si="3"/>
        <v>1.2418217739923141</v>
      </c>
      <c r="R37" s="70"/>
    </row>
    <row r="38" spans="1:18">
      <c r="A38" s="274"/>
      <c r="B38" s="274">
        <v>2014</v>
      </c>
      <c r="C38" s="274"/>
      <c r="D38" s="441">
        <v>5.7863625000000196</v>
      </c>
      <c r="E38" s="445"/>
      <c r="F38" s="441">
        <v>1.4967259120673537</v>
      </c>
      <c r="G38" s="416"/>
      <c r="H38" s="441">
        <v>1.7</v>
      </c>
      <c r="I38" s="446"/>
      <c r="J38" s="289">
        <f t="shared" si="0"/>
        <v>9.1949792037535172</v>
      </c>
      <c r="K38" s="392"/>
      <c r="L38" s="48">
        <f t="shared" si="4"/>
        <v>1.154273256386156</v>
      </c>
      <c r="M38" s="65"/>
      <c r="O38" s="186">
        <f t="shared" si="2"/>
        <v>7.5847306625000055</v>
      </c>
      <c r="P38" s="391"/>
      <c r="Q38" s="187">
        <f t="shared" si="3"/>
        <v>1.154273256386156</v>
      </c>
      <c r="R38" s="70"/>
    </row>
    <row r="39" spans="1:18">
      <c r="A39" s="274"/>
      <c r="B39" s="274">
        <v>2015</v>
      </c>
      <c r="C39" s="274"/>
      <c r="D39" s="441">
        <v>-0.83826250000000879</v>
      </c>
      <c r="E39" s="445"/>
      <c r="F39" s="441">
        <v>0</v>
      </c>
      <c r="G39" s="416"/>
      <c r="H39" s="441">
        <v>2.2999999999999998</v>
      </c>
      <c r="I39" s="446"/>
      <c r="J39" s="289">
        <f t="shared" si="0"/>
        <v>1.4424574624999797</v>
      </c>
      <c r="K39" s="392"/>
      <c r="L39" s="48">
        <f t="shared" si="4"/>
        <v>1.1378601083405868</v>
      </c>
      <c r="M39" s="274"/>
      <c r="O39" s="186">
        <f t="shared" si="2"/>
        <v>1.4424574624999797</v>
      </c>
      <c r="P39" s="391"/>
      <c r="Q39" s="187">
        <f t="shared" si="3"/>
        <v>1.1378601083405868</v>
      </c>
      <c r="R39" s="70"/>
    </row>
    <row r="40" spans="1:18">
      <c r="A40" s="274"/>
      <c r="B40" s="274">
        <v>2016</v>
      </c>
      <c r="C40" s="274"/>
      <c r="D40" s="441">
        <v>0.26999999999999247</v>
      </c>
      <c r="E40" s="445"/>
      <c r="F40" s="441">
        <v>0</v>
      </c>
      <c r="G40" s="416"/>
      <c r="H40" s="441">
        <v>1</v>
      </c>
      <c r="I40" s="446"/>
      <c r="J40" s="289">
        <f t="shared" si="0"/>
        <v>1.2726999999999933</v>
      </c>
      <c r="K40" s="392"/>
      <c r="L40" s="48">
        <f>L41*(1+J41/100)</f>
        <v>1.1235605531802617</v>
      </c>
      <c r="M40" s="274"/>
      <c r="O40" s="186">
        <f t="shared" si="2"/>
        <v>1.2726999999999933</v>
      </c>
      <c r="P40" s="391"/>
      <c r="Q40" s="187">
        <f t="shared" si="3"/>
        <v>1.1235605531802617</v>
      </c>
    </row>
    <row r="41" spans="1:18">
      <c r="A41" s="274"/>
      <c r="B41" s="274">
        <v>2017</v>
      </c>
      <c r="C41" s="274"/>
      <c r="D41" s="441">
        <v>0.46999999999999265</v>
      </c>
      <c r="E41" s="445"/>
      <c r="F41" s="441">
        <v>0</v>
      </c>
      <c r="G41" s="416"/>
      <c r="H41" s="441">
        <v>2.2000000000000002</v>
      </c>
      <c r="I41" s="446"/>
      <c r="J41" s="289">
        <f t="shared" si="0"/>
        <v>2.6803399999999922</v>
      </c>
      <c r="K41" s="392"/>
      <c r="L41" s="48">
        <f>L42*(1+J42/100)</f>
        <v>1.0942314304571468</v>
      </c>
      <c r="M41" s="274"/>
      <c r="O41" s="186">
        <f t="shared" si="2"/>
        <v>2.6803399999999922</v>
      </c>
      <c r="P41" s="391"/>
      <c r="Q41" s="187">
        <f>Q42*(1+O42/100)</f>
        <v>1.0942314304571468</v>
      </c>
    </row>
    <row r="42" spans="1:18">
      <c r="A42" s="274"/>
      <c r="B42" s="274">
        <v>2018</v>
      </c>
      <c r="C42" s="274"/>
      <c r="D42" s="441">
        <v>0.43999999999999595</v>
      </c>
      <c r="E42" s="446"/>
      <c r="F42" s="441">
        <v>0</v>
      </c>
      <c r="G42" s="416"/>
      <c r="H42" s="441">
        <v>2.1</v>
      </c>
      <c r="I42" s="446"/>
      <c r="J42" s="289">
        <f t="shared" si="0"/>
        <v>2.549239999999986</v>
      </c>
      <c r="K42" s="392"/>
      <c r="L42" s="48">
        <f>(1+J45/100)*(1+J44/100)*(1+J43/100)</f>
        <v>1.0670302680518617</v>
      </c>
      <c r="M42" s="274"/>
      <c r="O42" s="186">
        <f t="shared" si="2"/>
        <v>2.549239999999986</v>
      </c>
      <c r="P42" s="391"/>
      <c r="Q42" s="187">
        <f>(1+O45/100)*(1+O44/100)*(1+O43/100)</f>
        <v>1.0670302680518617</v>
      </c>
    </row>
    <row r="43" spans="1:18" s="361" customFormat="1">
      <c r="A43" s="363"/>
      <c r="B43" s="363">
        <v>2019</v>
      </c>
      <c r="C43" s="363"/>
      <c r="D43" s="441">
        <v>0.37</v>
      </c>
      <c r="E43" s="446"/>
      <c r="F43" s="441">
        <v>0</v>
      </c>
      <c r="G43" s="416"/>
      <c r="H43" s="441">
        <v>2.2999999999999998</v>
      </c>
      <c r="I43" s="446"/>
      <c r="J43" s="289">
        <f t="shared" si="0"/>
        <v>2.6785099999999895</v>
      </c>
      <c r="K43" s="392"/>
      <c r="L43" s="44"/>
      <c r="M43" s="363"/>
      <c r="O43" s="186">
        <f t="shared" si="2"/>
        <v>2.6785099999999895</v>
      </c>
      <c r="P43" s="391"/>
      <c r="Q43" s="187"/>
    </row>
    <row r="44" spans="1:18">
      <c r="A44" s="274"/>
      <c r="B44" s="380">
        <v>2020</v>
      </c>
      <c r="C44" s="380"/>
      <c r="D44" s="441">
        <v>0.45</v>
      </c>
      <c r="E44" s="446"/>
      <c r="F44" s="441">
        <v>0</v>
      </c>
      <c r="G44" s="416"/>
      <c r="H44" s="441">
        <v>2.2000000000000002</v>
      </c>
      <c r="I44" s="446"/>
      <c r="J44" s="289">
        <f t="shared" si="0"/>
        <v>2.6599000000000039</v>
      </c>
      <c r="K44" s="392"/>
      <c r="L44" s="44"/>
      <c r="M44" s="380"/>
      <c r="O44" s="186">
        <f t="shared" si="2"/>
        <v>2.6599000000000039</v>
      </c>
      <c r="P44" s="391"/>
      <c r="Q44" s="187"/>
    </row>
    <row r="45" spans="1:18" s="379" customFormat="1">
      <c r="A45" s="380"/>
      <c r="B45" s="243" t="s">
        <v>434</v>
      </c>
      <c r="C45" s="380"/>
      <c r="D45" s="447">
        <v>0.2247474429344587</v>
      </c>
      <c r="E45" s="446" t="s">
        <v>490</v>
      </c>
      <c r="F45" s="441">
        <v>0</v>
      </c>
      <c r="G45" s="416"/>
      <c r="H45" s="447">
        <v>1</v>
      </c>
      <c r="I45" s="446" t="s">
        <v>491</v>
      </c>
      <c r="J45" s="289">
        <f t="shared" si="0"/>
        <v>1.2269949173637995</v>
      </c>
      <c r="K45" s="380"/>
      <c r="L45" s="48"/>
      <c r="M45" s="380"/>
      <c r="O45" s="188">
        <f t="shared" si="2"/>
        <v>1.2269949173637995</v>
      </c>
      <c r="P45" s="388"/>
      <c r="Q45" s="440"/>
    </row>
    <row r="46" spans="1:18">
      <c r="A46" s="274"/>
      <c r="B46" s="274"/>
      <c r="C46" s="274"/>
      <c r="D46" s="365"/>
      <c r="E46" s="274"/>
      <c r="F46" s="274"/>
      <c r="G46" s="274"/>
      <c r="H46" s="274"/>
      <c r="I46" s="274"/>
      <c r="J46" s="274"/>
      <c r="K46" s="274"/>
      <c r="L46" s="274"/>
      <c r="M46" s="276"/>
    </row>
    <row r="47" spans="1:18" ht="54" customHeight="1">
      <c r="A47" s="274"/>
      <c r="B47" s="45" t="s">
        <v>22</v>
      </c>
      <c r="C47" s="533" t="s">
        <v>386</v>
      </c>
      <c r="D47" s="533"/>
      <c r="E47" s="533"/>
      <c r="F47" s="533"/>
      <c r="G47" s="533"/>
      <c r="H47" s="533"/>
      <c r="I47" s="533"/>
      <c r="J47" s="533"/>
      <c r="K47" s="533"/>
      <c r="L47" s="533"/>
      <c r="M47" s="276"/>
    </row>
    <row r="48" spans="1:18" ht="42" customHeight="1">
      <c r="A48" s="274"/>
      <c r="B48" s="45" t="s">
        <v>28</v>
      </c>
      <c r="C48" s="533" t="s">
        <v>414</v>
      </c>
      <c r="D48" s="533"/>
      <c r="E48" s="533"/>
      <c r="F48" s="533"/>
      <c r="G48" s="533"/>
      <c r="H48" s="533"/>
      <c r="I48" s="533"/>
      <c r="J48" s="533"/>
      <c r="K48" s="533"/>
      <c r="L48" s="533"/>
      <c r="M48" s="276"/>
    </row>
    <row r="49" spans="1:13" ht="14.45" customHeight="1">
      <c r="A49" s="274"/>
      <c r="B49" s="45" t="s">
        <v>40</v>
      </c>
      <c r="C49" s="533" t="s">
        <v>86</v>
      </c>
      <c r="D49" s="533"/>
      <c r="E49" s="533"/>
      <c r="F49" s="533"/>
      <c r="G49" s="533"/>
      <c r="H49" s="533"/>
      <c r="I49" s="533"/>
      <c r="J49" s="533"/>
      <c r="K49" s="533"/>
      <c r="L49" s="533"/>
      <c r="M49" s="274"/>
    </row>
    <row r="50" spans="1:13" ht="41.45" customHeight="1">
      <c r="A50" s="274"/>
      <c r="B50" s="45" t="s">
        <v>66</v>
      </c>
      <c r="C50" s="533" t="s">
        <v>492</v>
      </c>
      <c r="D50" s="533"/>
      <c r="E50" s="533"/>
      <c r="F50" s="533"/>
      <c r="G50" s="533"/>
      <c r="H50" s="533"/>
      <c r="I50" s="533"/>
      <c r="J50" s="533"/>
      <c r="K50" s="533"/>
      <c r="L50" s="533"/>
      <c r="M50" s="67"/>
    </row>
    <row r="51" spans="1:13" ht="53.25" customHeight="1">
      <c r="A51" s="274"/>
      <c r="B51" s="45" t="s">
        <v>43</v>
      </c>
      <c r="C51" s="533" t="s">
        <v>87</v>
      </c>
      <c r="D51" s="533"/>
      <c r="E51" s="533"/>
      <c r="F51" s="533"/>
      <c r="G51" s="533"/>
      <c r="H51" s="533"/>
      <c r="I51" s="533"/>
      <c r="J51" s="533"/>
      <c r="K51" s="533"/>
      <c r="L51" s="533"/>
      <c r="M51" s="276"/>
    </row>
    <row r="53" spans="1:13" ht="15">
      <c r="B53" s="565" t="s">
        <v>296</v>
      </c>
      <c r="C53" s="566"/>
      <c r="D53" s="566"/>
      <c r="E53" s="566"/>
      <c r="F53" s="566"/>
      <c r="G53" s="566"/>
      <c r="H53" s="566"/>
      <c r="I53" s="567"/>
    </row>
    <row r="54" spans="1:13" ht="25.5">
      <c r="B54" s="172" t="s">
        <v>201</v>
      </c>
      <c r="C54" s="173" t="s">
        <v>291</v>
      </c>
      <c r="D54" s="173" t="s">
        <v>294</v>
      </c>
      <c r="E54" s="173" t="s">
        <v>292</v>
      </c>
      <c r="F54" s="174"/>
      <c r="G54" s="173" t="s">
        <v>291</v>
      </c>
      <c r="H54" s="173" t="s">
        <v>294</v>
      </c>
      <c r="I54" s="175" t="s">
        <v>293</v>
      </c>
      <c r="J54" s="277"/>
    </row>
    <row r="55" spans="1:13">
      <c r="B55" s="161">
        <v>2002</v>
      </c>
      <c r="C55" s="170">
        <v>0.95</v>
      </c>
      <c r="D55" s="170">
        <v>5.0000000000000044E-2</v>
      </c>
      <c r="E55" s="170">
        <v>-0.3992203893047237</v>
      </c>
      <c r="F55" s="277"/>
      <c r="G55" s="170">
        <v>0.95</v>
      </c>
      <c r="H55" s="170">
        <v>5.0000000000000044E-2</v>
      </c>
      <c r="I55" s="176">
        <v>-0.2906970357788945</v>
      </c>
      <c r="J55" s="277"/>
    </row>
    <row r="56" spans="1:13">
      <c r="B56" s="161">
        <v>2003</v>
      </c>
      <c r="C56" s="170">
        <v>0.75</v>
      </c>
      <c r="D56" s="170">
        <v>0.25</v>
      </c>
      <c r="E56" s="170">
        <v>-0.34938214862211059</v>
      </c>
      <c r="F56" s="277"/>
      <c r="G56" s="170">
        <v>0.75</v>
      </c>
      <c r="H56" s="170">
        <v>0.25</v>
      </c>
      <c r="I56" s="176">
        <v>-0.23185613768844215</v>
      </c>
      <c r="J56" s="277"/>
    </row>
    <row r="57" spans="1:13">
      <c r="B57" s="161">
        <v>2004</v>
      </c>
      <c r="C57" s="170">
        <v>0.4</v>
      </c>
      <c r="D57" s="170">
        <v>0.6</v>
      </c>
      <c r="E57" s="170">
        <v>-0.26216522742753778</v>
      </c>
      <c r="F57" s="277"/>
      <c r="G57" s="170">
        <v>0.4</v>
      </c>
      <c r="H57" s="170">
        <v>0.6</v>
      </c>
      <c r="I57" s="176">
        <v>-0.12888456603015075</v>
      </c>
      <c r="J57" s="277"/>
    </row>
    <row r="58" spans="1:13" ht="25.5">
      <c r="B58" s="177" t="s">
        <v>295</v>
      </c>
      <c r="C58" s="290">
        <v>-0.41167994947537695</v>
      </c>
      <c r="D58" s="290">
        <v>-0.16248874606231156</v>
      </c>
      <c r="E58" s="273"/>
      <c r="F58" s="273"/>
      <c r="G58" s="290">
        <v>-0.30540726030150755</v>
      </c>
      <c r="H58" s="290">
        <v>-1.1202769849246175E-2</v>
      </c>
      <c r="I58" s="291"/>
      <c r="J58" s="277"/>
    </row>
    <row r="59" spans="1:13">
      <c r="B59" s="277"/>
      <c r="C59" s="277"/>
      <c r="D59" s="277"/>
      <c r="E59" s="277"/>
      <c r="F59" s="277"/>
      <c r="G59" s="277"/>
      <c r="H59" s="277"/>
      <c r="I59" s="277"/>
      <c r="J59" s="277"/>
    </row>
    <row r="60" spans="1:13">
      <c r="B60" s="277"/>
      <c r="C60" s="277"/>
      <c r="D60" s="277"/>
      <c r="E60" s="277"/>
      <c r="F60" s="277"/>
      <c r="G60" s="277"/>
      <c r="H60" s="277"/>
      <c r="I60" s="277"/>
      <c r="J60" s="277"/>
    </row>
    <row r="61" spans="1:13">
      <c r="B61" s="277"/>
      <c r="C61" s="277"/>
      <c r="D61" s="277"/>
      <c r="E61" s="277"/>
      <c r="F61" s="277"/>
      <c r="G61" s="277"/>
      <c r="H61" s="277"/>
      <c r="I61" s="277"/>
      <c r="J61" s="277"/>
    </row>
    <row r="62" spans="1:13">
      <c r="B62" s="277"/>
      <c r="C62" s="277"/>
      <c r="D62" s="277"/>
      <c r="E62" s="277"/>
      <c r="F62" s="277"/>
      <c r="G62" s="277"/>
      <c r="H62" s="277"/>
      <c r="I62" s="277"/>
      <c r="J62" s="277"/>
    </row>
    <row r="63" spans="1:13">
      <c r="E63" s="277"/>
      <c r="F63" s="277"/>
      <c r="G63" s="277"/>
      <c r="H63" s="292"/>
      <c r="I63" s="277"/>
      <c r="J63" s="277"/>
    </row>
    <row r="64" spans="1:13">
      <c r="E64" s="277"/>
      <c r="F64" s="277"/>
      <c r="G64" s="277"/>
      <c r="H64" s="293"/>
      <c r="I64" s="277"/>
      <c r="J64" s="277"/>
    </row>
    <row r="65" spans="2:10">
      <c r="E65" s="277"/>
      <c r="F65" s="277"/>
      <c r="G65" s="277"/>
      <c r="H65" s="293"/>
      <c r="I65" s="277"/>
      <c r="J65" s="277"/>
    </row>
    <row r="66" spans="2:10">
      <c r="B66" s="277"/>
      <c r="C66" s="277"/>
      <c r="D66" s="277"/>
      <c r="E66" s="277"/>
      <c r="F66" s="277"/>
      <c r="G66" s="277"/>
      <c r="H66" s="277"/>
      <c r="I66" s="83"/>
      <c r="J66" s="277"/>
    </row>
  </sheetData>
  <mergeCells count="8">
    <mergeCell ref="B53:I53"/>
    <mergeCell ref="O2:Q2"/>
    <mergeCell ref="A1:M1"/>
    <mergeCell ref="C47:L47"/>
    <mergeCell ref="C48:L48"/>
    <mergeCell ref="C49:L49"/>
    <mergeCell ref="C50:L50"/>
    <mergeCell ref="C51:L51"/>
  </mergeCells>
  <pageMargins left="0.7" right="0.7" top="0.75" bottom="0.75" header="0.3" footer="0.3"/>
  <pageSetup scale="88"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O52"/>
  <sheetViews>
    <sheetView zoomScaleNormal="100" zoomScaleSheetLayoutView="100" workbookViewId="0">
      <selection sqref="A1:L1"/>
    </sheetView>
  </sheetViews>
  <sheetFormatPr defaultColWidth="9.140625" defaultRowHeight="12.75"/>
  <cols>
    <col min="1" max="1" width="9.140625" style="270"/>
    <col min="2" max="2" width="15.28515625" style="270" bestFit="1" customWidth="1"/>
    <col min="3" max="3" width="2.7109375" style="270" customWidth="1"/>
    <col min="4" max="4" width="15.28515625" style="270" bestFit="1" customWidth="1"/>
    <col min="5" max="5" width="3.28515625" style="270" customWidth="1"/>
    <col min="6" max="6" width="11" style="270" customWidth="1"/>
    <col min="7" max="7" width="11.28515625" style="270" customWidth="1"/>
    <col min="8" max="8" width="7.42578125" style="270" customWidth="1"/>
    <col min="9" max="9" width="11.28515625" style="270" customWidth="1"/>
    <col min="10" max="10" width="10.140625" style="270" customWidth="1"/>
    <col min="11" max="11" width="6.28515625" style="270" customWidth="1"/>
    <col min="12" max="12" width="14.85546875" style="270" bestFit="1" customWidth="1"/>
    <col min="13" max="16384" width="9.140625" style="270"/>
  </cols>
  <sheetData>
    <row r="1" spans="1:15">
      <c r="A1" s="573" t="s">
        <v>88</v>
      </c>
      <c r="B1" s="574"/>
      <c r="C1" s="574"/>
      <c r="D1" s="574"/>
      <c r="E1" s="574"/>
      <c r="F1" s="574"/>
      <c r="G1" s="574"/>
      <c r="H1" s="574"/>
      <c r="I1" s="574"/>
      <c r="J1" s="574"/>
      <c r="K1" s="574"/>
      <c r="L1" s="574"/>
    </row>
    <row r="2" spans="1:15" ht="22.15" customHeight="1">
      <c r="A2" s="60"/>
    </row>
    <row r="3" spans="1:15">
      <c r="A3" s="60"/>
      <c r="B3" s="39" t="s">
        <v>47</v>
      </c>
      <c r="C3" s="39"/>
      <c r="D3" s="39" t="s">
        <v>48</v>
      </c>
      <c r="E3" s="39"/>
      <c r="F3" s="39" t="s">
        <v>49</v>
      </c>
      <c r="H3" s="39" t="s">
        <v>50</v>
      </c>
      <c r="J3" s="39" t="s">
        <v>56</v>
      </c>
      <c r="L3" s="39" t="s">
        <v>57</v>
      </c>
    </row>
    <row r="4" spans="1:15">
      <c r="A4" s="60"/>
      <c r="B4" s="274" t="s">
        <v>89</v>
      </c>
      <c r="C4" s="274"/>
      <c r="D4" s="274" t="s">
        <v>89</v>
      </c>
      <c r="E4" s="274"/>
      <c r="F4" s="274" t="s">
        <v>90</v>
      </c>
      <c r="G4" s="274"/>
      <c r="H4" s="274"/>
      <c r="J4" s="274" t="s">
        <v>90</v>
      </c>
      <c r="L4" s="274" t="s">
        <v>72</v>
      </c>
    </row>
    <row r="5" spans="1:15">
      <c r="A5" s="60"/>
      <c r="B5" s="274" t="s">
        <v>5</v>
      </c>
      <c r="C5" s="274"/>
      <c r="D5" s="274" t="s">
        <v>93</v>
      </c>
      <c r="E5" s="274"/>
      <c r="F5" s="274" t="s">
        <v>94</v>
      </c>
      <c r="G5" s="274"/>
      <c r="H5" s="274" t="s">
        <v>95</v>
      </c>
      <c r="J5" s="274" t="s">
        <v>96</v>
      </c>
      <c r="L5" s="274" t="s">
        <v>97</v>
      </c>
    </row>
    <row r="6" spans="1:15">
      <c r="A6" s="69" t="s">
        <v>60</v>
      </c>
      <c r="B6" s="274" t="s">
        <v>98</v>
      </c>
      <c r="C6" s="274"/>
      <c r="D6" s="274" t="s">
        <v>98</v>
      </c>
      <c r="E6" s="274"/>
      <c r="F6" s="274" t="s">
        <v>99</v>
      </c>
      <c r="G6" s="274"/>
      <c r="H6" s="274" t="s">
        <v>5</v>
      </c>
      <c r="J6" s="274" t="s">
        <v>100</v>
      </c>
      <c r="L6" s="274" t="s">
        <v>101</v>
      </c>
    </row>
    <row r="7" spans="1:15">
      <c r="A7" s="57" t="s">
        <v>8</v>
      </c>
      <c r="B7" s="38" t="s">
        <v>102</v>
      </c>
      <c r="C7" s="38"/>
      <c r="D7" s="38" t="s">
        <v>102</v>
      </c>
      <c r="E7" s="274"/>
      <c r="F7" s="38" t="s">
        <v>103</v>
      </c>
      <c r="G7" s="274"/>
      <c r="H7" s="38" t="s">
        <v>104</v>
      </c>
      <c r="J7" s="38" t="s">
        <v>105</v>
      </c>
      <c r="L7" s="38" t="s">
        <v>106</v>
      </c>
    </row>
    <row r="8" spans="1:15" ht="1.9" customHeight="1">
      <c r="A8" s="55">
        <v>1984</v>
      </c>
      <c r="B8" s="44">
        <v>0.66500000000000004</v>
      </c>
      <c r="D8" s="44">
        <f t="shared" ref="D8:D44" si="0">1-B8</f>
        <v>0.33499999999999996</v>
      </c>
      <c r="F8" s="294">
        <v>3.3000000000000002E-2</v>
      </c>
      <c r="H8" s="294">
        <v>3.6999999999999998E-2</v>
      </c>
      <c r="L8" s="39"/>
    </row>
    <row r="9" spans="1:15" ht="14.65" hidden="1" customHeight="1">
      <c r="A9" s="55">
        <v>1985</v>
      </c>
      <c r="B9" s="44">
        <v>0.66500000000000004</v>
      </c>
      <c r="C9" s="44"/>
      <c r="D9" s="44">
        <f t="shared" si="0"/>
        <v>0.33499999999999996</v>
      </c>
      <c r="E9" s="274"/>
      <c r="F9" s="294">
        <v>2.3E-2</v>
      </c>
      <c r="G9" s="274"/>
      <c r="H9" s="294">
        <v>6.5000000000000002E-2</v>
      </c>
      <c r="I9" s="274"/>
      <c r="J9" s="294">
        <v>2.1999999999999999E-2</v>
      </c>
      <c r="K9" s="274"/>
      <c r="L9" s="78">
        <v>4.4999999999999998E-2</v>
      </c>
      <c r="N9" s="66"/>
      <c r="O9" s="66"/>
    </row>
    <row r="10" spans="1:15" ht="14.65" customHeight="1">
      <c r="A10" s="55">
        <v>1986</v>
      </c>
      <c r="B10" s="417">
        <v>0.60399999999999998</v>
      </c>
      <c r="C10" s="44"/>
      <c r="D10" s="44">
        <f t="shared" si="0"/>
        <v>0.39600000000000002</v>
      </c>
      <c r="E10" s="274"/>
      <c r="F10" s="448">
        <v>0</v>
      </c>
      <c r="G10" s="416"/>
      <c r="H10" s="448">
        <v>9.0999999999999998E-2</v>
      </c>
      <c r="I10" s="416"/>
      <c r="J10" s="451">
        <v>0.03</v>
      </c>
      <c r="K10" s="274"/>
      <c r="L10" s="78">
        <f t="shared" ref="L10:L44" si="1">F10+J10</f>
        <v>0.03</v>
      </c>
      <c r="N10" s="66"/>
      <c r="O10" s="66"/>
    </row>
    <row r="11" spans="1:15" ht="14.65" customHeight="1">
      <c r="A11" s="55">
        <v>1987</v>
      </c>
      <c r="B11" s="417">
        <v>0.61</v>
      </c>
      <c r="C11" s="44"/>
      <c r="D11" s="44">
        <f t="shared" si="0"/>
        <v>0.39</v>
      </c>
      <c r="E11" s="274"/>
      <c r="F11" s="448">
        <v>8.9999999999999993E-3</v>
      </c>
      <c r="G11" s="416"/>
      <c r="H11" s="448">
        <v>7.3999999999999996E-2</v>
      </c>
      <c r="I11" s="416"/>
      <c r="J11" s="78">
        <f t="shared" ref="J11:J45" si="2">ROUND(B10*1+D10*(H11+1)-1,3)</f>
        <v>2.9000000000000001E-2</v>
      </c>
      <c r="K11" s="274"/>
      <c r="L11" s="78">
        <f t="shared" si="1"/>
        <v>3.7999999999999999E-2</v>
      </c>
      <c r="N11" s="66"/>
      <c r="O11" s="66"/>
    </row>
    <row r="12" spans="1:15" ht="14.65" customHeight="1">
      <c r="A12" s="55">
        <v>1988</v>
      </c>
      <c r="B12" s="417">
        <v>0.64900000000000002</v>
      </c>
      <c r="C12" s="44"/>
      <c r="D12" s="44">
        <f t="shared" si="0"/>
        <v>0.35099999999999998</v>
      </c>
      <c r="E12" s="274"/>
      <c r="F12" s="448">
        <v>8.0000000000000002E-3</v>
      </c>
      <c r="G12" s="416"/>
      <c r="H12" s="448">
        <v>7.6999999999999999E-2</v>
      </c>
      <c r="I12" s="416"/>
      <c r="J12" s="78">
        <f t="shared" si="2"/>
        <v>0.03</v>
      </c>
      <c r="K12" s="274"/>
      <c r="L12" s="78">
        <f t="shared" si="1"/>
        <v>3.7999999999999999E-2</v>
      </c>
      <c r="N12" s="66"/>
      <c r="O12" s="66"/>
    </row>
    <row r="13" spans="1:15" ht="14.65" customHeight="1">
      <c r="A13" s="55">
        <v>1989</v>
      </c>
      <c r="B13" s="417">
        <v>0.64700000000000002</v>
      </c>
      <c r="C13" s="44"/>
      <c r="D13" s="44">
        <f t="shared" si="0"/>
        <v>0.35299999999999998</v>
      </c>
      <c r="E13" s="274"/>
      <c r="F13" s="448">
        <v>0</v>
      </c>
      <c r="G13" s="416"/>
      <c r="H13" s="448">
        <v>8.5999999999999993E-2</v>
      </c>
      <c r="I13" s="416"/>
      <c r="J13" s="78">
        <f t="shared" si="2"/>
        <v>0.03</v>
      </c>
      <c r="K13" s="274"/>
      <c r="L13" s="78">
        <f t="shared" si="1"/>
        <v>0.03</v>
      </c>
      <c r="N13" s="66"/>
      <c r="O13" s="66"/>
    </row>
    <row r="14" spans="1:15" ht="14.65" customHeight="1">
      <c r="A14" s="55">
        <v>1990</v>
      </c>
      <c r="B14" s="417">
        <v>0.66100000000000003</v>
      </c>
      <c r="C14" s="44"/>
      <c r="D14" s="44">
        <f t="shared" si="0"/>
        <v>0.33899999999999997</v>
      </c>
      <c r="E14" s="274"/>
      <c r="F14" s="448">
        <v>0</v>
      </c>
      <c r="G14" s="416"/>
      <c r="H14" s="448">
        <v>0.104</v>
      </c>
      <c r="I14" s="416"/>
      <c r="J14" s="78">
        <f t="shared" si="2"/>
        <v>3.6999999999999998E-2</v>
      </c>
      <c r="K14" s="274"/>
      <c r="L14" s="78">
        <f t="shared" si="1"/>
        <v>3.6999999999999998E-2</v>
      </c>
      <c r="N14" s="66"/>
      <c r="O14" s="66"/>
    </row>
    <row r="15" spans="1:15" ht="14.65" customHeight="1">
      <c r="A15" s="55">
        <v>1991</v>
      </c>
      <c r="B15" s="417">
        <v>0.63100000000000001</v>
      </c>
      <c r="C15" s="44"/>
      <c r="D15" s="44">
        <f t="shared" si="0"/>
        <v>0.36899999999999999</v>
      </c>
      <c r="E15" s="274"/>
      <c r="F15" s="448">
        <v>0</v>
      </c>
      <c r="G15" s="416"/>
      <c r="H15" s="448">
        <v>0.106</v>
      </c>
      <c r="I15" s="416"/>
      <c r="J15" s="78">
        <f t="shared" si="2"/>
        <v>3.5999999999999997E-2</v>
      </c>
      <c r="K15" s="274"/>
      <c r="L15" s="78">
        <f t="shared" si="1"/>
        <v>3.5999999999999997E-2</v>
      </c>
      <c r="N15" s="66"/>
      <c r="O15" s="66"/>
    </row>
    <row r="16" spans="1:15" ht="14.65" customHeight="1">
      <c r="A16" s="55">
        <v>1992</v>
      </c>
      <c r="B16" s="417">
        <v>0.628</v>
      </c>
      <c r="C16" s="44"/>
      <c r="D16" s="44">
        <f t="shared" si="0"/>
        <v>0.372</v>
      </c>
      <c r="E16" s="274"/>
      <c r="F16" s="448">
        <v>0</v>
      </c>
      <c r="G16" s="416"/>
      <c r="H16" s="448">
        <v>8.1000000000000003E-2</v>
      </c>
      <c r="I16" s="416"/>
      <c r="J16" s="78">
        <f t="shared" si="2"/>
        <v>0.03</v>
      </c>
      <c r="K16" s="274"/>
      <c r="L16" s="78">
        <f t="shared" si="1"/>
        <v>0.03</v>
      </c>
      <c r="N16" s="66"/>
      <c r="O16" s="66"/>
    </row>
    <row r="17" spans="1:15" ht="14.65" customHeight="1">
      <c r="A17" s="55">
        <v>1993</v>
      </c>
      <c r="B17" s="417">
        <v>0.56499999999999995</v>
      </c>
      <c r="C17" s="44"/>
      <c r="D17" s="44">
        <f t="shared" si="0"/>
        <v>0.43500000000000005</v>
      </c>
      <c r="E17" s="274"/>
      <c r="F17" s="448">
        <v>0</v>
      </c>
      <c r="G17" s="416"/>
      <c r="H17" s="448">
        <v>7.2999999999999995E-2</v>
      </c>
      <c r="I17" s="416"/>
      <c r="J17" s="78">
        <f t="shared" si="2"/>
        <v>2.7E-2</v>
      </c>
      <c r="K17" s="274"/>
      <c r="L17" s="78">
        <f t="shared" si="1"/>
        <v>2.7E-2</v>
      </c>
      <c r="N17" s="66"/>
      <c r="O17" s="66"/>
    </row>
    <row r="18" spans="1:15" ht="14.65" customHeight="1">
      <c r="A18" s="55">
        <v>1994</v>
      </c>
      <c r="B18" s="417">
        <v>0.69099999999999995</v>
      </c>
      <c r="C18" s="44"/>
      <c r="D18" s="44">
        <f t="shared" si="0"/>
        <v>0.30900000000000005</v>
      </c>
      <c r="E18" s="274"/>
      <c r="F18" s="448">
        <v>-3.5999999999999997E-2</v>
      </c>
      <c r="G18" s="416"/>
      <c r="H18" s="448">
        <v>4.2999999999999997E-2</v>
      </c>
      <c r="I18" s="416"/>
      <c r="J18" s="78">
        <f>ROUND((B17+0.138)*1+(D17-0.138)*(H18+1)-1,3)</f>
        <v>1.2999999999999999E-2</v>
      </c>
      <c r="K18" s="65" t="s">
        <v>107</v>
      </c>
      <c r="L18" s="78">
        <f t="shared" si="1"/>
        <v>-2.3E-2</v>
      </c>
      <c r="N18" s="66"/>
      <c r="O18" s="66"/>
    </row>
    <row r="19" spans="1:15" ht="14.65" customHeight="1">
      <c r="A19" s="55">
        <v>1995</v>
      </c>
      <c r="B19" s="417">
        <v>0.68100000000000005</v>
      </c>
      <c r="C19" s="44"/>
      <c r="D19" s="44">
        <f t="shared" si="0"/>
        <v>0.31899999999999995</v>
      </c>
      <c r="E19" s="274"/>
      <c r="F19" s="448">
        <v>0</v>
      </c>
      <c r="G19" s="416"/>
      <c r="H19" s="448">
        <v>0.03</v>
      </c>
      <c r="I19" s="416"/>
      <c r="J19" s="78">
        <f t="shared" si="2"/>
        <v>8.9999999999999993E-3</v>
      </c>
      <c r="K19" s="274"/>
      <c r="L19" s="78">
        <f t="shared" si="1"/>
        <v>8.9999999999999993E-3</v>
      </c>
      <c r="N19" s="66"/>
      <c r="O19" s="66"/>
    </row>
    <row r="20" spans="1:15" ht="14.65" customHeight="1">
      <c r="A20" s="55">
        <v>1996</v>
      </c>
      <c r="B20" s="417">
        <v>0.66300000000000003</v>
      </c>
      <c r="C20" s="44"/>
      <c r="D20" s="44">
        <f t="shared" si="0"/>
        <v>0.33699999999999997</v>
      </c>
      <c r="E20" s="274"/>
      <c r="F20" s="448">
        <v>0</v>
      </c>
      <c r="G20" s="416"/>
      <c r="H20" s="448">
        <v>0.03</v>
      </c>
      <c r="I20" s="416"/>
      <c r="J20" s="78">
        <f t="shared" si="2"/>
        <v>0.01</v>
      </c>
      <c r="K20" s="274"/>
      <c r="L20" s="78">
        <f t="shared" si="1"/>
        <v>0.01</v>
      </c>
      <c r="N20" s="66"/>
      <c r="O20" s="66"/>
    </row>
    <row r="21" spans="1:15" ht="14.65" customHeight="1">
      <c r="A21" s="55">
        <v>1997</v>
      </c>
      <c r="B21" s="417">
        <v>0.64300000000000002</v>
      </c>
      <c r="C21" s="44"/>
      <c r="D21" s="44">
        <f t="shared" si="0"/>
        <v>0.35699999999999998</v>
      </c>
      <c r="E21" s="274"/>
      <c r="F21" s="448">
        <v>0</v>
      </c>
      <c r="G21" s="416"/>
      <c r="H21" s="448">
        <v>2.1999999999999999E-2</v>
      </c>
      <c r="I21" s="416"/>
      <c r="J21" s="78">
        <f t="shared" si="2"/>
        <v>7.0000000000000001E-3</v>
      </c>
      <c r="K21" s="274"/>
      <c r="L21" s="78">
        <f t="shared" si="1"/>
        <v>7.0000000000000001E-3</v>
      </c>
      <c r="N21" s="66"/>
      <c r="O21" s="66"/>
    </row>
    <row r="22" spans="1:15" ht="14.65" customHeight="1">
      <c r="A22" s="55">
        <v>1998</v>
      </c>
      <c r="B22" s="417">
        <v>0.65800000000000003</v>
      </c>
      <c r="C22" s="44"/>
      <c r="D22" s="44">
        <f t="shared" si="0"/>
        <v>0.34199999999999997</v>
      </c>
      <c r="E22" s="274"/>
      <c r="F22" s="448">
        <v>0</v>
      </c>
      <c r="G22" s="416"/>
      <c r="H22" s="448">
        <v>2.1999999999999999E-2</v>
      </c>
      <c r="I22" s="416"/>
      <c r="J22" s="78">
        <f t="shared" si="2"/>
        <v>8.0000000000000002E-3</v>
      </c>
      <c r="K22" s="274"/>
      <c r="L22" s="78">
        <f t="shared" si="1"/>
        <v>8.0000000000000002E-3</v>
      </c>
      <c r="N22" s="66"/>
      <c r="O22" s="66"/>
    </row>
    <row r="23" spans="1:15" ht="14.65" customHeight="1">
      <c r="A23" s="55">
        <v>1999</v>
      </c>
      <c r="B23" s="417">
        <v>0.72799999999999998</v>
      </c>
      <c r="C23" s="44"/>
      <c r="D23" s="44">
        <f t="shared" si="0"/>
        <v>0.27200000000000002</v>
      </c>
      <c r="E23" s="274"/>
      <c r="F23" s="448">
        <v>1.6E-2</v>
      </c>
      <c r="G23" s="416"/>
      <c r="H23" s="448">
        <v>3.3000000000000002E-2</v>
      </c>
      <c r="I23" s="416"/>
      <c r="J23" s="78">
        <f>ROUND((B22+0.077)*1+(D22-0.077)*(H23+1)-1,3)</f>
        <v>8.9999999999999993E-3</v>
      </c>
      <c r="K23" s="65" t="s">
        <v>108</v>
      </c>
      <c r="L23" s="78">
        <f t="shared" si="1"/>
        <v>2.5000000000000001E-2</v>
      </c>
      <c r="N23" s="66"/>
      <c r="O23" s="66"/>
    </row>
    <row r="24" spans="1:15" ht="14.65" customHeight="1">
      <c r="A24" s="55">
        <v>2000</v>
      </c>
      <c r="B24" s="417">
        <v>0.71499999999999997</v>
      </c>
      <c r="C24" s="44"/>
      <c r="D24" s="44">
        <f t="shared" si="0"/>
        <v>0.28500000000000003</v>
      </c>
      <c r="E24" s="274"/>
      <c r="F24" s="448">
        <v>5.0000000000000001E-3</v>
      </c>
      <c r="G24" s="416"/>
      <c r="H24" s="448">
        <v>4.2999999999999997E-2</v>
      </c>
      <c r="I24" s="416"/>
      <c r="J24" s="78">
        <f t="shared" si="2"/>
        <v>1.2E-2</v>
      </c>
      <c r="K24" s="65"/>
      <c r="L24" s="78">
        <f t="shared" si="1"/>
        <v>1.7000000000000001E-2</v>
      </c>
      <c r="N24" s="66"/>
      <c r="O24" s="66"/>
    </row>
    <row r="25" spans="1:15" ht="14.65" customHeight="1">
      <c r="A25" s="55">
        <v>2001</v>
      </c>
      <c r="B25" s="417">
        <v>0.72199999999999998</v>
      </c>
      <c r="C25" s="44"/>
      <c r="D25" s="44">
        <f t="shared" si="0"/>
        <v>0.27800000000000002</v>
      </c>
      <c r="E25" s="274"/>
      <c r="F25" s="448">
        <v>1.4999999999999999E-2</v>
      </c>
      <c r="G25" s="416"/>
      <c r="H25" s="448">
        <v>4.8000000000000001E-2</v>
      </c>
      <c r="I25" s="416"/>
      <c r="J25" s="78">
        <f t="shared" si="2"/>
        <v>1.4E-2</v>
      </c>
      <c r="K25" s="65"/>
      <c r="L25" s="78">
        <f t="shared" si="1"/>
        <v>2.8999999999999998E-2</v>
      </c>
      <c r="N25" s="66"/>
      <c r="O25" s="66"/>
    </row>
    <row r="26" spans="1:15" ht="14.65" customHeight="1">
      <c r="A26" s="55">
        <v>2002</v>
      </c>
      <c r="B26" s="417">
        <v>0.63500000000000001</v>
      </c>
      <c r="C26" s="44"/>
      <c r="D26" s="44">
        <f t="shared" si="0"/>
        <v>0.36499999999999999</v>
      </c>
      <c r="E26" s="274"/>
      <c r="F26" s="448">
        <v>6.0000000000000001E-3</v>
      </c>
      <c r="G26" s="416"/>
      <c r="H26" s="448">
        <v>5.0999999999999997E-2</v>
      </c>
      <c r="I26" s="416"/>
      <c r="J26" s="78">
        <f t="shared" si="2"/>
        <v>1.4E-2</v>
      </c>
      <c r="K26" s="65"/>
      <c r="L26" s="78">
        <f t="shared" si="1"/>
        <v>0.02</v>
      </c>
      <c r="N26" s="66"/>
      <c r="O26" s="66"/>
    </row>
    <row r="27" spans="1:15" ht="14.65" customHeight="1">
      <c r="A27" s="55">
        <v>2003</v>
      </c>
      <c r="B27" s="417">
        <v>0.78600000000000003</v>
      </c>
      <c r="C27" s="44"/>
      <c r="D27" s="44">
        <f t="shared" si="0"/>
        <v>0.21399999999999997</v>
      </c>
      <c r="E27" s="274"/>
      <c r="F27" s="448">
        <v>0</v>
      </c>
      <c r="G27" s="416"/>
      <c r="H27" s="448">
        <v>4.8000000000000001E-2</v>
      </c>
      <c r="I27" s="416"/>
      <c r="J27" s="78">
        <f>ROUND((B26+0.076)*1+(D26-0.076)*(H27+1)-1,3)</f>
        <v>1.4E-2</v>
      </c>
      <c r="K27" s="65" t="s">
        <v>109</v>
      </c>
      <c r="L27" s="78">
        <f t="shared" si="1"/>
        <v>1.4E-2</v>
      </c>
      <c r="N27" s="66"/>
      <c r="O27" s="66"/>
    </row>
    <row r="28" spans="1:15" ht="14.65" customHeight="1">
      <c r="A28" s="55">
        <v>2004</v>
      </c>
      <c r="B28" s="417">
        <v>0.95199999999999996</v>
      </c>
      <c r="C28" s="44"/>
      <c r="D28" s="44">
        <f t="shared" si="0"/>
        <v>4.8000000000000043E-2</v>
      </c>
      <c r="E28" s="274"/>
      <c r="F28" s="448">
        <v>0</v>
      </c>
      <c r="G28" s="416"/>
      <c r="H28" s="448">
        <v>0.05</v>
      </c>
      <c r="I28" s="416"/>
      <c r="J28" s="78">
        <f>ROUND((B27+0.172)*1+(D27-0.172)*(0+1)-1,3)</f>
        <v>0</v>
      </c>
      <c r="K28" s="65" t="s">
        <v>110</v>
      </c>
      <c r="L28" s="78">
        <f t="shared" si="1"/>
        <v>0</v>
      </c>
      <c r="N28" s="66"/>
      <c r="O28" s="66"/>
    </row>
    <row r="29" spans="1:15" ht="14.65" customHeight="1">
      <c r="A29" s="55">
        <v>2005</v>
      </c>
      <c r="B29" s="417">
        <v>0.93600000000000005</v>
      </c>
      <c r="C29" s="44"/>
      <c r="D29" s="44">
        <f t="shared" si="0"/>
        <v>6.3999999999999946E-2</v>
      </c>
      <c r="E29" s="274"/>
      <c r="F29" s="448">
        <v>0</v>
      </c>
      <c r="G29" s="416"/>
      <c r="H29" s="448">
        <v>4.8000000000000001E-2</v>
      </c>
      <c r="I29" s="416"/>
      <c r="J29" s="78">
        <f>ROUND(B28*1+D28*(0+1)-1,3)</f>
        <v>0</v>
      </c>
      <c r="K29" s="65" t="s">
        <v>111</v>
      </c>
      <c r="L29" s="78">
        <f t="shared" si="1"/>
        <v>0</v>
      </c>
      <c r="N29" s="66"/>
      <c r="O29" s="66"/>
    </row>
    <row r="30" spans="1:15" ht="14.65" customHeight="1">
      <c r="A30" s="55">
        <v>2006</v>
      </c>
      <c r="B30" s="417">
        <v>0.92600000000000005</v>
      </c>
      <c r="C30" s="44"/>
      <c r="D30" s="44">
        <f t="shared" si="0"/>
        <v>7.3999999999999955E-2</v>
      </c>
      <c r="E30" s="274"/>
      <c r="F30" s="448">
        <v>0</v>
      </c>
      <c r="G30" s="416"/>
      <c r="H30" s="448">
        <v>4.1000000000000002E-2</v>
      </c>
      <c r="I30" s="416"/>
      <c r="J30" s="78">
        <f t="shared" si="2"/>
        <v>3.0000000000000001E-3</v>
      </c>
      <c r="K30" s="274"/>
      <c r="L30" s="78">
        <f t="shared" si="1"/>
        <v>3.0000000000000001E-3</v>
      </c>
      <c r="N30" s="66"/>
      <c r="O30" s="66"/>
    </row>
    <row r="31" spans="1:15" ht="14.65" customHeight="1">
      <c r="A31" s="55">
        <v>2007</v>
      </c>
      <c r="B31" s="417">
        <v>0.92300000000000004</v>
      </c>
      <c r="C31" s="44"/>
      <c r="D31" s="44">
        <f t="shared" si="0"/>
        <v>7.6999999999999957E-2</v>
      </c>
      <c r="E31" s="274"/>
      <c r="F31" s="448">
        <v>1.4E-2</v>
      </c>
      <c r="G31" s="416"/>
      <c r="H31" s="448">
        <v>5.2999999999999999E-2</v>
      </c>
      <c r="I31" s="416"/>
      <c r="J31" s="78">
        <f t="shared" si="2"/>
        <v>4.0000000000000001E-3</v>
      </c>
      <c r="K31" s="274"/>
      <c r="L31" s="78">
        <f t="shared" si="1"/>
        <v>1.8000000000000002E-2</v>
      </c>
      <c r="N31" s="66"/>
      <c r="O31" s="66"/>
    </row>
    <row r="32" spans="1:15" ht="14.65" customHeight="1">
      <c r="A32" s="55">
        <v>2008</v>
      </c>
      <c r="B32" s="417">
        <v>0.89600000000000002</v>
      </c>
      <c r="C32" s="44"/>
      <c r="D32" s="44">
        <f t="shared" si="0"/>
        <v>0.10399999999999998</v>
      </c>
      <c r="E32" s="274"/>
      <c r="F32" s="448">
        <v>-1E-3</v>
      </c>
      <c r="G32" s="416"/>
      <c r="H32" s="448">
        <v>4.2000000000000003E-2</v>
      </c>
      <c r="I32" s="416"/>
      <c r="J32" s="78">
        <f t="shared" si="2"/>
        <v>3.0000000000000001E-3</v>
      </c>
      <c r="K32" s="274"/>
      <c r="L32" s="78">
        <f t="shared" si="1"/>
        <v>2E-3</v>
      </c>
      <c r="N32" s="66"/>
      <c r="O32" s="66"/>
    </row>
    <row r="33" spans="1:15" ht="14.65" customHeight="1">
      <c r="A33" s="55">
        <v>2009</v>
      </c>
      <c r="B33" s="417">
        <v>0.89400000000000002</v>
      </c>
      <c r="C33" s="44"/>
      <c r="D33" s="44">
        <f t="shared" si="0"/>
        <v>0.10599999999999998</v>
      </c>
      <c r="E33" s="274"/>
      <c r="F33" s="448">
        <v>0</v>
      </c>
      <c r="G33" s="416"/>
      <c r="H33" s="448">
        <v>3.5999999999999997E-2</v>
      </c>
      <c r="I33" s="416"/>
      <c r="J33" s="78">
        <f t="shared" si="2"/>
        <v>4.0000000000000001E-3</v>
      </c>
      <c r="K33" s="274"/>
      <c r="L33" s="78">
        <f t="shared" si="1"/>
        <v>4.0000000000000001E-3</v>
      </c>
      <c r="N33" s="66"/>
      <c r="O33" s="66"/>
    </row>
    <row r="34" spans="1:15" ht="14.65" customHeight="1">
      <c r="A34" s="55">
        <v>2010</v>
      </c>
      <c r="B34" s="417">
        <v>0.89500000000000002</v>
      </c>
      <c r="C34" s="44"/>
      <c r="D34" s="44">
        <f t="shared" si="0"/>
        <v>0.10499999999999998</v>
      </c>
      <c r="E34" s="274"/>
      <c r="F34" s="448">
        <v>0</v>
      </c>
      <c r="G34" s="416"/>
      <c r="H34" s="448">
        <v>2.8000000000000001E-2</v>
      </c>
      <c r="I34" s="416"/>
      <c r="J34" s="78">
        <f t="shared" si="2"/>
        <v>3.0000000000000001E-3</v>
      </c>
      <c r="K34" s="274"/>
      <c r="L34" s="78">
        <f t="shared" si="1"/>
        <v>3.0000000000000001E-3</v>
      </c>
      <c r="N34" s="66"/>
      <c r="O34" s="66"/>
    </row>
    <row r="35" spans="1:15" ht="14.65" customHeight="1">
      <c r="A35" s="55">
        <v>2011</v>
      </c>
      <c r="B35" s="417">
        <v>0.96899999999999997</v>
      </c>
      <c r="C35" s="44"/>
      <c r="D35" s="44">
        <f t="shared" si="0"/>
        <v>3.1000000000000028E-2</v>
      </c>
      <c r="E35" s="274"/>
      <c r="F35" s="448">
        <v>0</v>
      </c>
      <c r="G35" s="416"/>
      <c r="H35" s="448">
        <v>3.2000000000000001E-2</v>
      </c>
      <c r="I35" s="416"/>
      <c r="J35" s="78">
        <f t="shared" si="2"/>
        <v>3.0000000000000001E-3</v>
      </c>
      <c r="K35" s="274"/>
      <c r="L35" s="78">
        <f t="shared" si="1"/>
        <v>3.0000000000000001E-3</v>
      </c>
      <c r="N35" s="66"/>
      <c r="O35" s="66"/>
    </row>
    <row r="36" spans="1:15" ht="14.65" customHeight="1">
      <c r="A36" s="55">
        <v>2012</v>
      </c>
      <c r="B36" s="417">
        <v>0.96899999999999997</v>
      </c>
      <c r="C36" s="44"/>
      <c r="D36" s="44">
        <f t="shared" si="0"/>
        <v>3.1000000000000028E-2</v>
      </c>
      <c r="E36" s="274"/>
      <c r="F36" s="448">
        <v>0</v>
      </c>
      <c r="G36" s="416"/>
      <c r="H36" s="448">
        <v>2.7E-2</v>
      </c>
      <c r="I36" s="416"/>
      <c r="J36" s="78">
        <f t="shared" si="2"/>
        <v>1E-3</v>
      </c>
      <c r="K36" s="274"/>
      <c r="L36" s="78">
        <f t="shared" si="1"/>
        <v>1E-3</v>
      </c>
      <c r="N36" s="66"/>
      <c r="O36" s="66"/>
    </row>
    <row r="37" spans="1:15" ht="14.65" customHeight="1">
      <c r="A37" s="55">
        <v>2013</v>
      </c>
      <c r="B37" s="417">
        <v>0.93799999999999994</v>
      </c>
      <c r="C37" s="44"/>
      <c r="D37" s="44">
        <f t="shared" si="0"/>
        <v>6.2000000000000055E-2</v>
      </c>
      <c r="E37" s="274"/>
      <c r="F37" s="448">
        <v>0</v>
      </c>
      <c r="G37" s="416"/>
      <c r="H37" s="448">
        <v>2.5999999999999999E-2</v>
      </c>
      <c r="I37" s="416"/>
      <c r="J37" s="78">
        <f t="shared" si="2"/>
        <v>1E-3</v>
      </c>
      <c r="K37" s="274"/>
      <c r="L37" s="78">
        <f t="shared" si="1"/>
        <v>1E-3</v>
      </c>
      <c r="N37" s="66"/>
      <c r="O37" s="66"/>
    </row>
    <row r="38" spans="1:15" ht="14.65" customHeight="1">
      <c r="A38" s="55">
        <v>2014</v>
      </c>
      <c r="B38" s="417">
        <v>0.92800000000000005</v>
      </c>
      <c r="C38" s="44"/>
      <c r="D38" s="44">
        <f t="shared" si="0"/>
        <v>7.1999999999999953E-2</v>
      </c>
      <c r="E38" s="274"/>
      <c r="F38" s="448">
        <v>0</v>
      </c>
      <c r="G38" s="416"/>
      <c r="H38" s="448">
        <v>4.2000000000000003E-2</v>
      </c>
      <c r="I38" s="416"/>
      <c r="J38" s="78">
        <f t="shared" si="2"/>
        <v>3.0000000000000001E-3</v>
      </c>
      <c r="K38" s="274"/>
      <c r="L38" s="78">
        <f t="shared" si="1"/>
        <v>3.0000000000000001E-3</v>
      </c>
      <c r="N38" s="66"/>
      <c r="O38" s="66"/>
    </row>
    <row r="39" spans="1:15" ht="14.65" customHeight="1">
      <c r="A39" s="55">
        <v>2015</v>
      </c>
      <c r="B39" s="417">
        <v>0.93300000000000005</v>
      </c>
      <c r="C39" s="44"/>
      <c r="D39" s="44">
        <f t="shared" si="0"/>
        <v>6.6999999999999948E-2</v>
      </c>
      <c r="E39" s="274"/>
      <c r="F39" s="448">
        <v>0</v>
      </c>
      <c r="G39" s="416"/>
      <c r="H39" s="448">
        <v>3.1E-2</v>
      </c>
      <c r="I39" s="416"/>
      <c r="J39" s="78">
        <f t="shared" si="2"/>
        <v>2E-3</v>
      </c>
      <c r="K39" s="78"/>
      <c r="L39" s="78">
        <f t="shared" si="1"/>
        <v>2E-3</v>
      </c>
      <c r="N39" s="66"/>
      <c r="O39" s="66"/>
    </row>
    <row r="40" spans="1:15" ht="14.65" customHeight="1">
      <c r="A40" s="55">
        <v>2016</v>
      </c>
      <c r="B40" s="417">
        <v>0.91900000000000004</v>
      </c>
      <c r="C40" s="44"/>
      <c r="D40" s="44">
        <f t="shared" si="0"/>
        <v>8.0999999999999961E-2</v>
      </c>
      <c r="E40" s="274"/>
      <c r="F40" s="448">
        <v>0</v>
      </c>
      <c r="G40" s="416"/>
      <c r="H40" s="448">
        <v>5.3999999999999999E-2</v>
      </c>
      <c r="I40" s="416"/>
      <c r="J40" s="78">
        <f t="shared" si="2"/>
        <v>4.0000000000000001E-3</v>
      </c>
      <c r="K40" s="78"/>
      <c r="L40" s="78">
        <f t="shared" si="1"/>
        <v>4.0000000000000001E-3</v>
      </c>
      <c r="N40" s="66"/>
      <c r="O40" s="66"/>
    </row>
    <row r="41" spans="1:15" ht="14.65" customHeight="1">
      <c r="A41" s="55">
        <v>2017</v>
      </c>
      <c r="B41" s="417">
        <v>0.90600000000000003</v>
      </c>
      <c r="C41" s="42"/>
      <c r="D41" s="44">
        <f t="shared" si="0"/>
        <v>9.3999999999999972E-2</v>
      </c>
      <c r="E41" s="274"/>
      <c r="F41" s="448">
        <v>0</v>
      </c>
      <c r="G41" s="416"/>
      <c r="H41" s="448">
        <v>2.1999999999999999E-2</v>
      </c>
      <c r="I41" s="416"/>
      <c r="J41" s="78">
        <f t="shared" si="2"/>
        <v>2E-3</v>
      </c>
      <c r="K41" s="274"/>
      <c r="L41" s="78">
        <f t="shared" si="1"/>
        <v>2E-3</v>
      </c>
      <c r="N41" s="66"/>
      <c r="O41" s="66"/>
    </row>
    <row r="42" spans="1:15" ht="14.65" customHeight="1">
      <c r="A42" s="55">
        <v>2018</v>
      </c>
      <c r="B42" s="417">
        <v>0.90500000000000003</v>
      </c>
      <c r="C42" s="42"/>
      <c r="D42" s="44">
        <f t="shared" si="0"/>
        <v>9.4999999999999973E-2</v>
      </c>
      <c r="E42" s="274"/>
      <c r="F42" s="448">
        <v>0</v>
      </c>
      <c r="G42" s="416"/>
      <c r="H42" s="448">
        <v>2.4E-2</v>
      </c>
      <c r="I42" s="416"/>
      <c r="J42" s="78">
        <f t="shared" si="2"/>
        <v>2E-3</v>
      </c>
      <c r="K42" s="274"/>
      <c r="L42" s="78">
        <f t="shared" si="1"/>
        <v>2E-3</v>
      </c>
    </row>
    <row r="43" spans="1:15" s="361" customFormat="1" ht="14.65" customHeight="1">
      <c r="A43" s="55">
        <v>2019</v>
      </c>
      <c r="B43" s="417">
        <v>0.90500000000000003</v>
      </c>
      <c r="C43" s="42"/>
      <c r="D43" s="44">
        <f t="shared" si="0"/>
        <v>9.4999999999999973E-2</v>
      </c>
      <c r="E43" s="363"/>
      <c r="F43" s="448">
        <v>0</v>
      </c>
      <c r="G43" s="416"/>
      <c r="H43" s="448">
        <v>2.8000000000000001E-2</v>
      </c>
      <c r="I43" s="416"/>
      <c r="J43" s="78">
        <f t="shared" si="2"/>
        <v>3.0000000000000001E-3</v>
      </c>
      <c r="K43" s="363"/>
      <c r="L43" s="78">
        <f t="shared" si="1"/>
        <v>3.0000000000000001E-3</v>
      </c>
    </row>
    <row r="44" spans="1:15" ht="14.65" customHeight="1">
      <c r="A44" s="55">
        <v>2020</v>
      </c>
      <c r="B44" s="417">
        <v>0.90500000000000003</v>
      </c>
      <c r="C44" s="42"/>
      <c r="D44" s="44">
        <f t="shared" si="0"/>
        <v>9.4999999999999973E-2</v>
      </c>
      <c r="E44" s="380"/>
      <c r="F44" s="448">
        <v>0</v>
      </c>
      <c r="G44" s="416"/>
      <c r="H44" s="448">
        <v>3.1E-2</v>
      </c>
      <c r="I44" s="416"/>
      <c r="J44" s="78">
        <f t="shared" si="2"/>
        <v>3.0000000000000001E-3</v>
      </c>
      <c r="K44" s="380"/>
      <c r="L44" s="78">
        <f t="shared" si="1"/>
        <v>3.0000000000000001E-3</v>
      </c>
    </row>
    <row r="45" spans="1:15" s="379" customFormat="1" ht="14.65" customHeight="1">
      <c r="A45" s="75" t="s">
        <v>434</v>
      </c>
      <c r="B45" s="417">
        <v>0.90500000000000003</v>
      </c>
      <c r="C45" s="42"/>
      <c r="D45" s="44">
        <f>1-B45</f>
        <v>9.4999999999999973E-2</v>
      </c>
      <c r="E45" s="380"/>
      <c r="F45" s="450">
        <v>0</v>
      </c>
      <c r="G45" s="449" t="s">
        <v>493</v>
      </c>
      <c r="H45" s="450">
        <v>1.2999999999999999E-2</v>
      </c>
      <c r="I45" s="449" t="s">
        <v>494</v>
      </c>
      <c r="J45" s="78">
        <f t="shared" si="2"/>
        <v>1E-3</v>
      </c>
      <c r="K45" s="380"/>
      <c r="L45" s="78">
        <f t="shared" ref="L45" si="3">F45+J45</f>
        <v>1E-3</v>
      </c>
    </row>
    <row r="46" spans="1:15" ht="25.9" customHeight="1">
      <c r="A46" s="75"/>
      <c r="B46" s="70"/>
      <c r="C46" s="70"/>
      <c r="D46" s="44"/>
      <c r="F46" s="73"/>
      <c r="J46" s="66"/>
      <c r="L46" s="66"/>
    </row>
    <row r="47" spans="1:15" ht="41.45" customHeight="1">
      <c r="A47" s="76" t="s">
        <v>22</v>
      </c>
      <c r="B47" s="556" t="s">
        <v>390</v>
      </c>
      <c r="C47" s="556"/>
      <c r="D47" s="556"/>
      <c r="E47" s="556"/>
      <c r="F47" s="556"/>
      <c r="G47" s="556"/>
      <c r="H47" s="556"/>
      <c r="I47" s="556"/>
      <c r="J47" s="556"/>
      <c r="K47" s="556"/>
      <c r="L47" s="556"/>
    </row>
    <row r="48" spans="1:15">
      <c r="A48" s="76" t="s">
        <v>28</v>
      </c>
      <c r="B48" s="556" t="s">
        <v>396</v>
      </c>
      <c r="C48" s="556"/>
      <c r="D48" s="556"/>
      <c r="E48" s="556"/>
      <c r="F48" s="556"/>
      <c r="G48" s="556"/>
      <c r="H48" s="556"/>
      <c r="I48" s="556"/>
      <c r="J48" s="556"/>
      <c r="K48" s="556"/>
      <c r="L48" s="556"/>
    </row>
    <row r="49" spans="1:12" ht="15" customHeight="1">
      <c r="A49" s="76" t="s">
        <v>40</v>
      </c>
      <c r="B49" s="51" t="s">
        <v>112</v>
      </c>
      <c r="C49" s="51"/>
      <c r="D49" s="51"/>
      <c r="E49" s="51"/>
      <c r="F49" s="51"/>
      <c r="G49" s="51"/>
      <c r="H49" s="51"/>
      <c r="I49" s="51"/>
      <c r="J49" s="51"/>
      <c r="K49" s="51"/>
      <c r="L49" s="51"/>
    </row>
    <row r="50" spans="1:12" ht="93.6" customHeight="1">
      <c r="A50" s="77" t="s">
        <v>66</v>
      </c>
      <c r="B50" s="556" t="s">
        <v>113</v>
      </c>
      <c r="C50" s="556"/>
      <c r="D50" s="556"/>
      <c r="E50" s="556"/>
      <c r="F50" s="556"/>
      <c r="G50" s="556"/>
      <c r="H50" s="556"/>
      <c r="I50" s="556"/>
      <c r="J50" s="556"/>
      <c r="K50" s="556"/>
      <c r="L50" s="556"/>
    </row>
    <row r="51" spans="1:12" ht="15" customHeight="1">
      <c r="A51" s="77" t="s">
        <v>43</v>
      </c>
      <c r="B51" s="572" t="s">
        <v>114</v>
      </c>
      <c r="C51" s="572"/>
      <c r="D51" s="572"/>
      <c r="E51" s="572"/>
      <c r="F51" s="572"/>
      <c r="G51" s="572"/>
      <c r="H51" s="572"/>
      <c r="I51" s="572"/>
      <c r="J51" s="572"/>
      <c r="K51" s="572"/>
      <c r="L51" s="572"/>
    </row>
    <row r="52" spans="1:12">
      <c r="A52" s="65"/>
    </row>
  </sheetData>
  <mergeCells count="5">
    <mergeCell ref="B50:L50"/>
    <mergeCell ref="B51:L51"/>
    <mergeCell ref="B47:L47"/>
    <mergeCell ref="B48:L48"/>
    <mergeCell ref="A1:L1"/>
  </mergeCells>
  <pageMargins left="0.7" right="0.7" top="0.75" bottom="0.75" header="0.3" footer="0.3"/>
  <pageSetup scale="77"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F65"/>
  <sheetViews>
    <sheetView workbookViewId="0">
      <selection sqref="A1:Q1"/>
    </sheetView>
  </sheetViews>
  <sheetFormatPr defaultColWidth="9.140625" defaultRowHeight="12.75"/>
  <cols>
    <col min="1" max="1" width="14" style="136" customWidth="1"/>
    <col min="2" max="17" width="7.7109375" style="136" customWidth="1"/>
    <col min="18" max="16384" width="9.140625" style="136"/>
  </cols>
  <sheetData>
    <row r="1" spans="1:32" ht="13.15" customHeight="1">
      <c r="A1" s="512" t="s">
        <v>17</v>
      </c>
      <c r="B1" s="512"/>
      <c r="C1" s="512"/>
      <c r="D1" s="512"/>
      <c r="E1" s="512"/>
      <c r="F1" s="512"/>
      <c r="G1" s="512"/>
      <c r="H1" s="512"/>
      <c r="I1" s="512"/>
      <c r="J1" s="512"/>
      <c r="K1" s="512"/>
      <c r="L1" s="512"/>
      <c r="M1" s="512"/>
      <c r="N1" s="512"/>
      <c r="O1" s="512"/>
      <c r="P1" s="512"/>
      <c r="Q1" s="512"/>
    </row>
    <row r="2" spans="1:32" ht="13.15" customHeight="1">
      <c r="A2" s="151"/>
      <c r="B2" s="151"/>
      <c r="C2" s="151"/>
      <c r="D2" s="151"/>
      <c r="E2" s="151"/>
      <c r="F2" s="151"/>
      <c r="G2" s="151"/>
      <c r="H2" s="151"/>
      <c r="I2" s="151"/>
      <c r="J2" s="151"/>
      <c r="K2" s="151"/>
      <c r="L2" s="151"/>
      <c r="M2" s="151"/>
      <c r="N2" s="151"/>
      <c r="O2" s="151"/>
      <c r="P2" s="154"/>
    </row>
    <row r="3" spans="1:32" ht="13.15" customHeight="1">
      <c r="A3" s="154"/>
      <c r="B3" s="513" t="s">
        <v>18</v>
      </c>
      <c r="C3" s="513"/>
      <c r="D3" s="513"/>
      <c r="E3" s="513"/>
      <c r="F3" s="513"/>
      <c r="G3" s="513"/>
      <c r="H3" s="513"/>
      <c r="I3" s="513"/>
      <c r="J3" s="513"/>
      <c r="K3" s="513"/>
      <c r="L3" s="513"/>
      <c r="M3" s="513"/>
      <c r="N3" s="513"/>
      <c r="O3" s="513"/>
      <c r="P3" s="513"/>
      <c r="Q3" s="513"/>
    </row>
    <row r="4" spans="1:32" ht="13.15" customHeight="1">
      <c r="A4" s="11" t="s">
        <v>19</v>
      </c>
      <c r="B4" s="407" t="s">
        <v>435</v>
      </c>
      <c r="C4" s="407" t="s">
        <v>436</v>
      </c>
      <c r="D4" s="407" t="s">
        <v>437</v>
      </c>
      <c r="E4" s="407" t="s">
        <v>438</v>
      </c>
      <c r="F4" s="407" t="s">
        <v>439</v>
      </c>
      <c r="G4" s="407" t="s">
        <v>440</v>
      </c>
      <c r="H4" s="407" t="s">
        <v>441</v>
      </c>
      <c r="I4" s="407" t="s">
        <v>442</v>
      </c>
      <c r="J4" s="407" t="s">
        <v>443</v>
      </c>
      <c r="K4" s="407" t="s">
        <v>444</v>
      </c>
      <c r="L4" s="407" t="s">
        <v>445</v>
      </c>
      <c r="M4" s="407" t="s">
        <v>446</v>
      </c>
      <c r="N4" s="407" t="s">
        <v>447</v>
      </c>
      <c r="O4" s="407" t="s">
        <v>448</v>
      </c>
      <c r="P4" s="407" t="s">
        <v>449</v>
      </c>
      <c r="Q4" s="407" t="s">
        <v>450</v>
      </c>
    </row>
    <row r="5" spans="1:32" ht="13.15" hidden="1" customHeight="1">
      <c r="A5" s="12">
        <v>1992</v>
      </c>
      <c r="B5" s="407"/>
      <c r="C5" s="407"/>
      <c r="D5" s="407"/>
      <c r="E5" s="407"/>
      <c r="F5" s="407"/>
      <c r="G5" s="407"/>
      <c r="H5" s="407"/>
      <c r="I5" s="407"/>
      <c r="J5" s="407"/>
      <c r="K5" s="407"/>
      <c r="L5" s="407"/>
      <c r="M5" s="407"/>
      <c r="N5" s="407"/>
      <c r="O5" s="407"/>
      <c r="P5" s="407"/>
      <c r="Q5" s="407"/>
    </row>
    <row r="6" spans="1:32" ht="13.15" customHeight="1">
      <c r="A6" s="12">
        <v>1993</v>
      </c>
      <c r="B6" s="407"/>
      <c r="C6" s="407"/>
      <c r="D6" s="407"/>
      <c r="E6" s="407"/>
      <c r="F6" s="407"/>
      <c r="G6" s="407"/>
      <c r="H6" s="407"/>
      <c r="I6" s="407"/>
      <c r="J6" s="407"/>
      <c r="K6" s="407"/>
      <c r="L6" s="407"/>
      <c r="M6" s="407"/>
      <c r="N6" s="407"/>
      <c r="O6" s="407"/>
      <c r="P6" s="407"/>
      <c r="Q6" s="408">
        <v>0.999</v>
      </c>
    </row>
    <row r="7" spans="1:32" ht="13.15" customHeight="1">
      <c r="A7" s="12">
        <v>1994</v>
      </c>
      <c r="B7" s="408" t="s">
        <v>36</v>
      </c>
      <c r="C7" s="408" t="s">
        <v>36</v>
      </c>
      <c r="D7" s="408" t="s">
        <v>36</v>
      </c>
      <c r="E7" s="408" t="s">
        <v>36</v>
      </c>
      <c r="F7" s="408" t="s">
        <v>36</v>
      </c>
      <c r="G7" s="408" t="s">
        <v>36</v>
      </c>
      <c r="H7" s="408" t="s">
        <v>36</v>
      </c>
      <c r="I7" s="408" t="s">
        <v>36</v>
      </c>
      <c r="J7" s="408">
        <v>1.008</v>
      </c>
      <c r="K7" s="408">
        <v>1.0029999999999999</v>
      </c>
      <c r="L7" s="408">
        <v>1.002</v>
      </c>
      <c r="M7" s="408">
        <v>1.0009999999999999</v>
      </c>
      <c r="N7" s="408">
        <v>1.002</v>
      </c>
      <c r="O7" s="408">
        <v>0.999</v>
      </c>
      <c r="P7" s="408">
        <v>0.999</v>
      </c>
      <c r="Q7" s="408">
        <v>1.0009999999999999</v>
      </c>
      <c r="R7" s="167"/>
      <c r="S7" s="167"/>
      <c r="T7" s="167"/>
      <c r="U7" s="167"/>
      <c r="V7" s="167"/>
      <c r="W7" s="167"/>
      <c r="X7" s="167"/>
      <c r="Y7" s="167"/>
      <c r="Z7" s="167"/>
      <c r="AA7" s="167"/>
      <c r="AB7" s="167"/>
      <c r="AC7" s="167"/>
      <c r="AD7" s="167"/>
      <c r="AE7" s="167"/>
      <c r="AF7" s="167"/>
    </row>
    <row r="8" spans="1:32" ht="13.15" customHeight="1">
      <c r="A8" s="12">
        <v>1995</v>
      </c>
      <c r="B8" s="408" t="s">
        <v>36</v>
      </c>
      <c r="C8" s="408" t="s">
        <v>36</v>
      </c>
      <c r="D8" s="408" t="s">
        <v>36</v>
      </c>
      <c r="E8" s="408" t="s">
        <v>36</v>
      </c>
      <c r="F8" s="408" t="s">
        <v>36</v>
      </c>
      <c r="G8" s="408" t="s">
        <v>36</v>
      </c>
      <c r="H8" s="408" t="s">
        <v>36</v>
      </c>
      <c r="I8" s="408">
        <v>1.0149999999999999</v>
      </c>
      <c r="J8" s="408">
        <v>1.0029999999999999</v>
      </c>
      <c r="K8" s="408">
        <v>1.002</v>
      </c>
      <c r="L8" s="408">
        <v>1.0029999999999999</v>
      </c>
      <c r="M8" s="408">
        <v>1.002</v>
      </c>
      <c r="N8" s="408">
        <v>1.0029999999999999</v>
      </c>
      <c r="O8" s="408">
        <v>1.0009999999999999</v>
      </c>
      <c r="P8" s="408">
        <v>1.002</v>
      </c>
      <c r="Q8" s="408">
        <v>1.0009999999999999</v>
      </c>
      <c r="R8" s="167"/>
      <c r="S8" s="167"/>
      <c r="T8" s="167"/>
      <c r="U8" s="167"/>
      <c r="V8" s="167"/>
      <c r="W8" s="167"/>
      <c r="X8" s="167"/>
      <c r="Y8" s="167"/>
      <c r="Z8" s="167"/>
      <c r="AA8" s="167"/>
      <c r="AB8" s="167"/>
      <c r="AC8" s="167"/>
      <c r="AD8" s="167"/>
      <c r="AE8" s="167"/>
      <c r="AF8" s="167"/>
    </row>
    <row r="9" spans="1:32" ht="13.15" customHeight="1">
      <c r="A9" s="12">
        <v>1996</v>
      </c>
      <c r="B9" s="408" t="s">
        <v>36</v>
      </c>
      <c r="C9" s="408" t="s">
        <v>36</v>
      </c>
      <c r="D9" s="408" t="s">
        <v>36</v>
      </c>
      <c r="E9" s="408" t="s">
        <v>36</v>
      </c>
      <c r="F9" s="408" t="s">
        <v>36</v>
      </c>
      <c r="G9" s="408" t="s">
        <v>36</v>
      </c>
      <c r="H9" s="408">
        <v>1.022</v>
      </c>
      <c r="I9" s="408">
        <v>1.008</v>
      </c>
      <c r="J9" s="408">
        <v>1.0029999999999999</v>
      </c>
      <c r="K9" s="408">
        <v>1.002</v>
      </c>
      <c r="L9" s="408">
        <v>1.002</v>
      </c>
      <c r="M9" s="408">
        <v>1.002</v>
      </c>
      <c r="N9" s="408">
        <v>1</v>
      </c>
      <c r="O9" s="408">
        <v>0.999</v>
      </c>
      <c r="P9" s="408">
        <v>1.002</v>
      </c>
      <c r="Q9" s="408">
        <v>1.0009999999999999</v>
      </c>
      <c r="R9" s="167"/>
      <c r="S9" s="167"/>
      <c r="T9" s="167"/>
      <c r="U9" s="167"/>
      <c r="V9" s="167"/>
      <c r="W9" s="167"/>
      <c r="X9" s="167"/>
      <c r="Y9" s="167"/>
      <c r="Z9" s="167"/>
      <c r="AA9" s="167"/>
      <c r="AB9" s="167"/>
      <c r="AC9" s="167"/>
      <c r="AD9" s="167"/>
      <c r="AE9" s="167"/>
      <c r="AF9" s="167"/>
    </row>
    <row r="10" spans="1:32" ht="13.15" customHeight="1">
      <c r="A10" s="12">
        <v>1997</v>
      </c>
      <c r="B10" s="408" t="s">
        <v>36</v>
      </c>
      <c r="C10" s="408" t="s">
        <v>36</v>
      </c>
      <c r="D10" s="408" t="s">
        <v>36</v>
      </c>
      <c r="E10" s="408" t="s">
        <v>36</v>
      </c>
      <c r="F10" s="408" t="s">
        <v>36</v>
      </c>
      <c r="G10" s="408">
        <v>1.026</v>
      </c>
      <c r="H10" s="408">
        <v>1.0089999999999999</v>
      </c>
      <c r="I10" s="408">
        <v>1.004</v>
      </c>
      <c r="J10" s="408">
        <v>1.006</v>
      </c>
      <c r="K10" s="408">
        <v>1.0049999999999999</v>
      </c>
      <c r="L10" s="408">
        <v>1.0029999999999999</v>
      </c>
      <c r="M10" s="408">
        <v>1.002</v>
      </c>
      <c r="N10" s="408">
        <v>1.0029999999999999</v>
      </c>
      <c r="O10" s="408">
        <v>1.002</v>
      </c>
      <c r="P10" s="408">
        <v>1.0009999999999999</v>
      </c>
      <c r="Q10" s="408">
        <v>1.0009999999999999</v>
      </c>
      <c r="R10" s="167"/>
      <c r="S10" s="167"/>
      <c r="T10" s="167"/>
      <c r="U10" s="167"/>
      <c r="V10" s="167"/>
      <c r="W10" s="167"/>
      <c r="X10" s="167"/>
      <c r="Y10" s="167"/>
      <c r="Z10" s="167"/>
      <c r="AA10" s="167"/>
      <c r="AB10" s="167"/>
      <c r="AC10" s="167"/>
      <c r="AD10" s="167"/>
      <c r="AE10" s="167"/>
      <c r="AF10" s="167"/>
    </row>
    <row r="11" spans="1:32" ht="13.15" customHeight="1">
      <c r="A11" s="12">
        <v>1998</v>
      </c>
      <c r="B11" s="408" t="s">
        <v>36</v>
      </c>
      <c r="C11" s="408" t="s">
        <v>36</v>
      </c>
      <c r="D11" s="408" t="s">
        <v>36</v>
      </c>
      <c r="E11" s="408" t="s">
        <v>36</v>
      </c>
      <c r="F11" s="408">
        <v>1.0389999999999999</v>
      </c>
      <c r="G11" s="408">
        <v>1.018</v>
      </c>
      <c r="H11" s="408">
        <v>1.0049999999999999</v>
      </c>
      <c r="I11" s="408">
        <v>1.008</v>
      </c>
      <c r="J11" s="408">
        <v>1.004</v>
      </c>
      <c r="K11" s="408">
        <v>1.002</v>
      </c>
      <c r="L11" s="408">
        <v>1.002</v>
      </c>
      <c r="M11" s="408">
        <v>1.004</v>
      </c>
      <c r="N11" s="408">
        <v>1.004</v>
      </c>
      <c r="O11" s="408">
        <v>1</v>
      </c>
      <c r="P11" s="408">
        <v>1.0029999999999999</v>
      </c>
      <c r="Q11" s="408">
        <v>1.0009999999999999</v>
      </c>
      <c r="R11" s="167"/>
      <c r="S11" s="167"/>
      <c r="T11" s="167"/>
      <c r="U11" s="167"/>
      <c r="V11" s="167"/>
      <c r="W11" s="167"/>
      <c r="X11" s="167"/>
      <c r="Y11" s="167"/>
      <c r="Z11" s="167"/>
      <c r="AA11" s="167"/>
      <c r="AB11" s="167"/>
      <c r="AC11" s="167"/>
      <c r="AD11" s="167"/>
      <c r="AE11" s="167"/>
      <c r="AF11" s="167"/>
    </row>
    <row r="12" spans="1:32" ht="13.15" customHeight="1">
      <c r="A12" s="12">
        <v>1999</v>
      </c>
      <c r="B12" s="408" t="s">
        <v>36</v>
      </c>
      <c r="C12" s="408" t="s">
        <v>36</v>
      </c>
      <c r="D12" s="408" t="s">
        <v>36</v>
      </c>
      <c r="E12" s="408">
        <v>1.0609999999999999</v>
      </c>
      <c r="F12" s="408">
        <v>1.0269999999999999</v>
      </c>
      <c r="G12" s="408">
        <v>1.012</v>
      </c>
      <c r="H12" s="408">
        <v>1.0109999999999999</v>
      </c>
      <c r="I12" s="408">
        <v>1.0029999999999999</v>
      </c>
      <c r="J12" s="408">
        <v>1.0069999999999999</v>
      </c>
      <c r="K12" s="408">
        <v>1.004</v>
      </c>
      <c r="L12" s="408">
        <v>1.002</v>
      </c>
      <c r="M12" s="408">
        <v>1.004</v>
      </c>
      <c r="N12" s="408">
        <v>1.0029999999999999</v>
      </c>
      <c r="O12" s="408">
        <v>1.002</v>
      </c>
      <c r="P12" s="408">
        <v>1.002</v>
      </c>
      <c r="Q12" s="408">
        <v>1</v>
      </c>
      <c r="R12" s="167"/>
      <c r="S12" s="167"/>
      <c r="T12" s="167"/>
      <c r="U12" s="167"/>
      <c r="V12" s="167"/>
      <c r="W12" s="167"/>
      <c r="X12" s="167"/>
      <c r="Y12" s="167"/>
      <c r="Z12" s="167"/>
      <c r="AA12" s="167"/>
      <c r="AB12" s="167"/>
      <c r="AC12" s="167"/>
      <c r="AD12" s="167"/>
      <c r="AE12" s="167"/>
      <c r="AF12" s="167"/>
    </row>
    <row r="13" spans="1:32" ht="13.15" customHeight="1">
      <c r="A13" s="12">
        <v>2000</v>
      </c>
      <c r="B13" s="408" t="s">
        <v>36</v>
      </c>
      <c r="C13" s="408" t="s">
        <v>36</v>
      </c>
      <c r="D13" s="408">
        <v>1.1040000000000001</v>
      </c>
      <c r="E13" s="408">
        <v>1.04</v>
      </c>
      <c r="F13" s="408">
        <v>1.018</v>
      </c>
      <c r="G13" s="408">
        <v>1.014</v>
      </c>
      <c r="H13" s="408">
        <v>1.0089999999999999</v>
      </c>
      <c r="I13" s="408">
        <v>1.0069999999999999</v>
      </c>
      <c r="J13" s="408">
        <v>1.0049999999999999</v>
      </c>
      <c r="K13" s="408">
        <v>1.004</v>
      </c>
      <c r="L13" s="408">
        <v>1.004</v>
      </c>
      <c r="M13" s="408">
        <v>1.0029999999999999</v>
      </c>
      <c r="N13" s="408">
        <v>1.002</v>
      </c>
      <c r="O13" s="408">
        <v>1.0029999999999999</v>
      </c>
      <c r="P13" s="408">
        <v>1.002</v>
      </c>
      <c r="Q13" s="408">
        <v>1</v>
      </c>
      <c r="R13" s="167"/>
      <c r="S13" s="167"/>
      <c r="T13" s="167"/>
      <c r="U13" s="167"/>
      <c r="V13" s="167"/>
      <c r="W13" s="167"/>
      <c r="X13" s="167"/>
      <c r="Y13" s="167"/>
      <c r="Z13" s="167"/>
      <c r="AA13" s="167"/>
      <c r="AB13" s="167"/>
      <c r="AC13" s="167"/>
      <c r="AD13" s="167"/>
      <c r="AE13" s="167"/>
      <c r="AF13" s="167"/>
    </row>
    <row r="14" spans="1:32" ht="13.15" customHeight="1">
      <c r="A14" s="12">
        <v>2001</v>
      </c>
      <c r="B14" s="408" t="s">
        <v>36</v>
      </c>
      <c r="C14" s="408">
        <v>1.2470000000000001</v>
      </c>
      <c r="D14" s="408">
        <v>1.08</v>
      </c>
      <c r="E14" s="408">
        <v>1.0269999999999999</v>
      </c>
      <c r="F14" s="408">
        <v>1.0209999999999999</v>
      </c>
      <c r="G14" s="408">
        <v>1.018</v>
      </c>
      <c r="H14" s="408">
        <v>1.014</v>
      </c>
      <c r="I14" s="408">
        <v>1.0069999999999999</v>
      </c>
      <c r="J14" s="408">
        <v>1.008</v>
      </c>
      <c r="K14" s="408">
        <v>1.0069999999999999</v>
      </c>
      <c r="L14" s="408">
        <v>1.0049999999999999</v>
      </c>
      <c r="M14" s="408">
        <v>1.0049999999999999</v>
      </c>
      <c r="N14" s="408">
        <v>1.0029999999999999</v>
      </c>
      <c r="O14" s="408">
        <v>1.0009999999999999</v>
      </c>
      <c r="P14" s="408">
        <v>1.002</v>
      </c>
      <c r="Q14" s="408">
        <v>1.0009999999999999</v>
      </c>
      <c r="R14" s="167"/>
      <c r="S14" s="167"/>
      <c r="T14" s="167"/>
      <c r="U14" s="167"/>
      <c r="V14" s="167"/>
      <c r="W14" s="167"/>
      <c r="X14" s="167"/>
      <c r="Y14" s="167"/>
      <c r="Z14" s="167"/>
      <c r="AA14" s="167"/>
      <c r="AB14" s="167"/>
      <c r="AC14" s="167"/>
      <c r="AD14" s="167"/>
      <c r="AE14" s="167"/>
      <c r="AF14" s="167"/>
    </row>
    <row r="15" spans="1:32" ht="13.15" customHeight="1">
      <c r="A15" s="12">
        <v>2002</v>
      </c>
      <c r="B15" s="408">
        <v>1.6930000000000001</v>
      </c>
      <c r="C15" s="408">
        <v>1.1859999999999999</v>
      </c>
      <c r="D15" s="408">
        <v>1.0509999999999999</v>
      </c>
      <c r="E15" s="408">
        <v>1.032</v>
      </c>
      <c r="F15" s="408">
        <v>1.0269999999999999</v>
      </c>
      <c r="G15" s="408">
        <v>1.0189999999999999</v>
      </c>
      <c r="H15" s="408">
        <v>1.01</v>
      </c>
      <c r="I15" s="408">
        <v>1.0109999999999999</v>
      </c>
      <c r="J15" s="408">
        <v>1.0089999999999999</v>
      </c>
      <c r="K15" s="408">
        <v>1.006</v>
      </c>
      <c r="L15" s="408">
        <v>1.0049999999999999</v>
      </c>
      <c r="M15" s="408">
        <v>1.002</v>
      </c>
      <c r="N15" s="408">
        <v>1.0009999999999999</v>
      </c>
      <c r="O15" s="408">
        <v>1.0029999999999999</v>
      </c>
      <c r="P15" s="408">
        <v>1.002</v>
      </c>
      <c r="Q15" s="408">
        <v>1.002</v>
      </c>
      <c r="R15" s="167"/>
      <c r="S15" s="167"/>
      <c r="T15" s="167"/>
      <c r="U15" s="167"/>
      <c r="V15" s="167"/>
      <c r="W15" s="167"/>
      <c r="X15" s="167"/>
      <c r="Y15" s="167"/>
      <c r="Z15" s="167"/>
      <c r="AA15" s="167"/>
      <c r="AB15" s="167"/>
      <c r="AC15" s="167"/>
      <c r="AD15" s="167"/>
      <c r="AE15" s="167"/>
      <c r="AF15" s="167"/>
    </row>
    <row r="16" spans="1:32" ht="13.15" customHeight="1">
      <c r="A16" s="12">
        <v>2003</v>
      </c>
      <c r="B16" s="408">
        <v>1.546</v>
      </c>
      <c r="C16" s="408">
        <v>1.125</v>
      </c>
      <c r="D16" s="408">
        <v>1.0680000000000001</v>
      </c>
      <c r="E16" s="408">
        <v>1.0469999999999999</v>
      </c>
      <c r="F16" s="408">
        <v>1.03</v>
      </c>
      <c r="G16" s="408">
        <v>1.018</v>
      </c>
      <c r="H16" s="408">
        <v>1.02</v>
      </c>
      <c r="I16" s="408">
        <v>1.016</v>
      </c>
      <c r="J16" s="408">
        <v>1.012</v>
      </c>
      <c r="K16" s="408">
        <v>1.008</v>
      </c>
      <c r="L16" s="408">
        <v>1.008</v>
      </c>
      <c r="M16" s="408">
        <v>1.002</v>
      </c>
      <c r="N16" s="408">
        <v>1.0029999999999999</v>
      </c>
      <c r="O16" s="408">
        <v>1.0029999999999999</v>
      </c>
      <c r="P16" s="408">
        <v>1.002</v>
      </c>
      <c r="Q16" s="409"/>
      <c r="R16" s="167"/>
      <c r="S16" s="167"/>
      <c r="T16" s="167"/>
      <c r="U16" s="167"/>
      <c r="V16" s="167"/>
      <c r="W16" s="167"/>
      <c r="X16" s="167"/>
      <c r="Y16" s="167"/>
      <c r="Z16" s="167"/>
      <c r="AA16" s="167"/>
      <c r="AB16" s="167"/>
      <c r="AC16" s="167"/>
      <c r="AD16" s="167"/>
      <c r="AE16" s="167"/>
      <c r="AF16" s="167"/>
    </row>
    <row r="17" spans="1:32" ht="13.15" customHeight="1">
      <c r="A17" s="12">
        <v>2004</v>
      </c>
      <c r="B17" s="408">
        <v>1.2829999999999999</v>
      </c>
      <c r="C17" s="408">
        <v>1.1399999999999999</v>
      </c>
      <c r="D17" s="408">
        <v>1.0629999999999999</v>
      </c>
      <c r="E17" s="408">
        <v>1.042</v>
      </c>
      <c r="F17" s="408">
        <v>1.0369999999999999</v>
      </c>
      <c r="G17" s="408">
        <v>1.026</v>
      </c>
      <c r="H17" s="408">
        <v>1.0249999999999999</v>
      </c>
      <c r="I17" s="408">
        <v>1.0149999999999999</v>
      </c>
      <c r="J17" s="408">
        <v>1.0149999999999999</v>
      </c>
      <c r="K17" s="408">
        <v>1.0069999999999999</v>
      </c>
      <c r="L17" s="408">
        <v>1.006</v>
      </c>
      <c r="M17" s="408">
        <v>1.0029999999999999</v>
      </c>
      <c r="N17" s="408">
        <v>1.0009999999999999</v>
      </c>
      <c r="O17" s="408">
        <v>1.002</v>
      </c>
      <c r="P17" s="408" t="s">
        <v>36</v>
      </c>
      <c r="Q17" s="409"/>
      <c r="R17" s="167"/>
      <c r="S17" s="167"/>
      <c r="T17" s="167"/>
      <c r="U17" s="167"/>
      <c r="V17" s="167"/>
      <c r="W17" s="167"/>
      <c r="X17" s="167"/>
      <c r="Y17" s="167"/>
      <c r="Z17" s="167"/>
      <c r="AA17" s="167"/>
      <c r="AB17" s="167"/>
      <c r="AC17" s="167"/>
      <c r="AD17" s="167"/>
      <c r="AE17" s="167"/>
      <c r="AF17" s="167"/>
    </row>
    <row r="18" spans="1:32" ht="13.15" customHeight="1">
      <c r="A18" s="12">
        <v>2005</v>
      </c>
      <c r="B18" s="408">
        <v>1.4</v>
      </c>
      <c r="C18" s="408">
        <v>1.1679999999999999</v>
      </c>
      <c r="D18" s="408">
        <v>1.085</v>
      </c>
      <c r="E18" s="408">
        <v>1.0629999999999999</v>
      </c>
      <c r="F18" s="408">
        <v>1.0489999999999999</v>
      </c>
      <c r="G18" s="408">
        <v>1.0389999999999999</v>
      </c>
      <c r="H18" s="408">
        <v>1.022</v>
      </c>
      <c r="I18" s="408">
        <v>1.016</v>
      </c>
      <c r="J18" s="408">
        <v>1.01</v>
      </c>
      <c r="K18" s="408">
        <v>1.0049999999999999</v>
      </c>
      <c r="L18" s="408">
        <v>1.006</v>
      </c>
      <c r="M18" s="408">
        <v>1.004</v>
      </c>
      <c r="N18" s="408">
        <v>1.004</v>
      </c>
      <c r="O18" s="408" t="s">
        <v>36</v>
      </c>
      <c r="P18" s="408" t="s">
        <v>36</v>
      </c>
      <c r="Q18" s="409"/>
      <c r="R18" s="167"/>
      <c r="S18" s="167"/>
      <c r="T18" s="167"/>
      <c r="U18" s="167"/>
      <c r="V18" s="167"/>
      <c r="W18" s="167"/>
      <c r="X18" s="167"/>
      <c r="Y18" s="167"/>
      <c r="Z18" s="167"/>
      <c r="AA18" s="167"/>
      <c r="AB18" s="167"/>
      <c r="AC18" s="167"/>
      <c r="AD18" s="167"/>
      <c r="AE18" s="167"/>
      <c r="AF18" s="167"/>
    </row>
    <row r="19" spans="1:32" ht="13.15" customHeight="1">
      <c r="A19" s="12">
        <v>2006</v>
      </c>
      <c r="B19" s="408">
        <v>1.5189999999999999</v>
      </c>
      <c r="C19" s="408">
        <v>1.1879999999999999</v>
      </c>
      <c r="D19" s="408">
        <v>1.1000000000000001</v>
      </c>
      <c r="E19" s="408">
        <v>1.0720000000000001</v>
      </c>
      <c r="F19" s="408">
        <v>1.0509999999999999</v>
      </c>
      <c r="G19" s="408">
        <v>1.0309999999999999</v>
      </c>
      <c r="H19" s="408">
        <v>1.02</v>
      </c>
      <c r="I19" s="408">
        <v>1.012</v>
      </c>
      <c r="J19" s="408">
        <v>1.008</v>
      </c>
      <c r="K19" s="408">
        <v>1.008</v>
      </c>
      <c r="L19" s="408">
        <v>1.0049999999999999</v>
      </c>
      <c r="M19" s="408">
        <v>1.002</v>
      </c>
      <c r="N19" s="408" t="s">
        <v>36</v>
      </c>
      <c r="O19" s="408" t="s">
        <v>36</v>
      </c>
      <c r="P19" s="408" t="s">
        <v>36</v>
      </c>
      <c r="Q19" s="409"/>
      <c r="R19" s="167"/>
      <c r="S19" s="167"/>
      <c r="T19" s="167"/>
      <c r="U19" s="167"/>
      <c r="V19" s="167"/>
      <c r="W19" s="167"/>
      <c r="X19" s="167"/>
      <c r="Y19" s="167"/>
      <c r="Z19" s="167"/>
      <c r="AA19" s="167"/>
      <c r="AB19" s="167"/>
      <c r="AC19" s="167"/>
      <c r="AD19" s="167"/>
      <c r="AE19" s="167"/>
      <c r="AF19" s="167"/>
    </row>
    <row r="20" spans="1:32" ht="13.15" customHeight="1">
      <c r="A20" s="12">
        <v>2007</v>
      </c>
      <c r="B20" s="408">
        <v>1.5620000000000001</v>
      </c>
      <c r="C20" s="408">
        <v>1.216</v>
      </c>
      <c r="D20" s="408">
        <v>1.1040000000000001</v>
      </c>
      <c r="E20" s="408">
        <v>1.0660000000000001</v>
      </c>
      <c r="F20" s="408">
        <v>1.0449999999999999</v>
      </c>
      <c r="G20" s="408">
        <v>1.03</v>
      </c>
      <c r="H20" s="408">
        <v>1.022</v>
      </c>
      <c r="I20" s="408">
        <v>1.012</v>
      </c>
      <c r="J20" s="408">
        <v>1.0089999999999999</v>
      </c>
      <c r="K20" s="408">
        <v>1.0029999999999999</v>
      </c>
      <c r="L20" s="408">
        <v>1.0089999999999999</v>
      </c>
      <c r="M20" s="408" t="s">
        <v>36</v>
      </c>
      <c r="N20" s="408" t="s">
        <v>36</v>
      </c>
      <c r="O20" s="408" t="s">
        <v>36</v>
      </c>
      <c r="P20" s="408" t="s">
        <v>36</v>
      </c>
      <c r="Q20" s="409"/>
      <c r="R20" s="167"/>
      <c r="S20" s="167"/>
      <c r="T20" s="167"/>
      <c r="U20" s="167"/>
      <c r="V20" s="167"/>
      <c r="W20" s="167"/>
      <c r="X20" s="167"/>
      <c r="Y20" s="167"/>
      <c r="Z20" s="167"/>
      <c r="AA20" s="167"/>
      <c r="AB20" s="167"/>
      <c r="AC20" s="167"/>
      <c r="AD20" s="167"/>
      <c r="AE20" s="167"/>
      <c r="AF20" s="167"/>
    </row>
    <row r="21" spans="1:32" ht="13.15" customHeight="1">
      <c r="A21" s="12">
        <v>2008</v>
      </c>
      <c r="B21" s="408">
        <v>1.6180000000000001</v>
      </c>
      <c r="C21" s="408">
        <v>1.2450000000000001</v>
      </c>
      <c r="D21" s="408">
        <v>1.1160000000000001</v>
      </c>
      <c r="E21" s="408">
        <v>1.0629999999999999</v>
      </c>
      <c r="F21" s="408">
        <v>1.0429999999999999</v>
      </c>
      <c r="G21" s="408">
        <v>1.0249999999999999</v>
      </c>
      <c r="H21" s="408">
        <v>1.018</v>
      </c>
      <c r="I21" s="408">
        <v>1.0109999999999999</v>
      </c>
      <c r="J21" s="408">
        <v>1.008</v>
      </c>
      <c r="K21" s="408">
        <v>1.0069999999999999</v>
      </c>
      <c r="L21" s="408" t="s">
        <v>36</v>
      </c>
      <c r="M21" s="408" t="s">
        <v>36</v>
      </c>
      <c r="N21" s="408" t="s">
        <v>36</v>
      </c>
      <c r="O21" s="408" t="s">
        <v>36</v>
      </c>
      <c r="P21" s="408" t="s">
        <v>36</v>
      </c>
      <c r="Q21" s="409"/>
      <c r="R21" s="167"/>
      <c r="S21" s="167"/>
      <c r="T21" s="167"/>
      <c r="U21" s="167"/>
      <c r="V21" s="167"/>
      <c r="W21" s="167"/>
      <c r="X21" s="167"/>
      <c r="Y21" s="167"/>
      <c r="Z21" s="167"/>
      <c r="AA21" s="167"/>
      <c r="AB21" s="167"/>
      <c r="AC21" s="167"/>
      <c r="AD21" s="167"/>
      <c r="AE21" s="167"/>
      <c r="AF21" s="167"/>
    </row>
    <row r="22" spans="1:32" ht="13.15" customHeight="1">
      <c r="A22" s="12">
        <v>2009</v>
      </c>
      <c r="B22" s="408">
        <v>1.67</v>
      </c>
      <c r="C22" s="408">
        <v>1.2330000000000001</v>
      </c>
      <c r="D22" s="408">
        <v>1.1240000000000001</v>
      </c>
      <c r="E22" s="408">
        <v>1.0669999999999999</v>
      </c>
      <c r="F22" s="408">
        <v>1.0429999999999999</v>
      </c>
      <c r="G22" s="408">
        <v>1.0209999999999999</v>
      </c>
      <c r="H22" s="408">
        <v>1.016</v>
      </c>
      <c r="I22" s="408">
        <v>1.0129999999999999</v>
      </c>
      <c r="J22" s="408">
        <v>1.01</v>
      </c>
      <c r="K22" s="408" t="s">
        <v>36</v>
      </c>
      <c r="L22" s="408" t="s">
        <v>36</v>
      </c>
      <c r="M22" s="408" t="s">
        <v>36</v>
      </c>
      <c r="N22" s="408" t="s">
        <v>36</v>
      </c>
      <c r="O22" s="408" t="s">
        <v>36</v>
      </c>
      <c r="P22" s="408" t="s">
        <v>36</v>
      </c>
      <c r="Q22" s="409"/>
      <c r="R22" s="167"/>
      <c r="S22" s="167"/>
      <c r="T22" s="167"/>
      <c r="U22" s="167"/>
      <c r="V22" s="167"/>
      <c r="W22" s="167"/>
      <c r="X22" s="167"/>
      <c r="Y22" s="167"/>
      <c r="Z22" s="167"/>
      <c r="AA22" s="167"/>
      <c r="AB22" s="167"/>
      <c r="AC22" s="167"/>
      <c r="AD22" s="167"/>
      <c r="AE22" s="167"/>
      <c r="AF22" s="167"/>
    </row>
    <row r="23" spans="1:32" ht="13.15" customHeight="1">
      <c r="A23" s="12">
        <v>2010</v>
      </c>
      <c r="B23" s="408">
        <v>1.665</v>
      </c>
      <c r="C23" s="408">
        <v>1.25</v>
      </c>
      <c r="D23" s="408">
        <v>1.1120000000000001</v>
      </c>
      <c r="E23" s="408">
        <v>1.0620000000000001</v>
      </c>
      <c r="F23" s="408">
        <v>1.0369999999999999</v>
      </c>
      <c r="G23" s="408">
        <v>1.0229999999999999</v>
      </c>
      <c r="H23" s="408">
        <v>1.0169999999999999</v>
      </c>
      <c r="I23" s="408">
        <v>1.0109999999999999</v>
      </c>
      <c r="J23" s="408" t="s">
        <v>36</v>
      </c>
      <c r="K23" s="408" t="s">
        <v>36</v>
      </c>
      <c r="L23" s="408" t="s">
        <v>36</v>
      </c>
      <c r="M23" s="408" t="s">
        <v>36</v>
      </c>
      <c r="N23" s="408" t="s">
        <v>36</v>
      </c>
      <c r="O23" s="408" t="s">
        <v>36</v>
      </c>
      <c r="P23" s="408" t="s">
        <v>36</v>
      </c>
      <c r="Q23" s="409"/>
      <c r="R23" s="167"/>
      <c r="S23" s="167"/>
      <c r="T23" s="167"/>
      <c r="U23" s="167"/>
      <c r="V23" s="167"/>
      <c r="W23" s="167"/>
      <c r="X23" s="167"/>
      <c r="Y23" s="167"/>
      <c r="Z23" s="167"/>
      <c r="AA23" s="167"/>
      <c r="AB23" s="167"/>
      <c r="AC23" s="167"/>
      <c r="AD23" s="167"/>
      <c r="AE23" s="167"/>
      <c r="AF23" s="167"/>
    </row>
    <row r="24" spans="1:32" ht="13.15" customHeight="1">
      <c r="A24" s="12">
        <v>2011</v>
      </c>
      <c r="B24" s="408">
        <v>1.657</v>
      </c>
      <c r="C24" s="408">
        <v>1.2250000000000001</v>
      </c>
      <c r="D24" s="408">
        <v>1.109</v>
      </c>
      <c r="E24" s="408">
        <v>1.0529999999999999</v>
      </c>
      <c r="F24" s="408">
        <v>1.032</v>
      </c>
      <c r="G24" s="408">
        <v>1.024</v>
      </c>
      <c r="H24" s="408">
        <v>1.016</v>
      </c>
      <c r="I24" s="408" t="s">
        <v>36</v>
      </c>
      <c r="J24" s="408" t="s">
        <v>36</v>
      </c>
      <c r="K24" s="408" t="s">
        <v>36</v>
      </c>
      <c r="L24" s="408" t="s">
        <v>36</v>
      </c>
      <c r="M24" s="408" t="s">
        <v>36</v>
      </c>
      <c r="N24" s="408" t="s">
        <v>36</v>
      </c>
      <c r="O24" s="408" t="s">
        <v>36</v>
      </c>
      <c r="P24" s="408" t="s">
        <v>36</v>
      </c>
      <c r="Q24" s="409"/>
      <c r="R24" s="167"/>
      <c r="S24" s="167"/>
      <c r="T24" s="167"/>
      <c r="U24" s="167"/>
      <c r="V24" s="167"/>
      <c r="W24" s="167"/>
      <c r="X24" s="167"/>
      <c r="Y24" s="167"/>
      <c r="Z24" s="167"/>
      <c r="AA24" s="167"/>
      <c r="AB24" s="167"/>
      <c r="AC24" s="167"/>
      <c r="AD24" s="167"/>
      <c r="AE24" s="167"/>
      <c r="AF24" s="167"/>
    </row>
    <row r="25" spans="1:32" ht="13.15" customHeight="1">
      <c r="A25" s="12">
        <v>2012</v>
      </c>
      <c r="B25" s="408">
        <v>1.6619999999999999</v>
      </c>
      <c r="C25" s="408">
        <v>1.218</v>
      </c>
      <c r="D25" s="408">
        <v>1.093</v>
      </c>
      <c r="E25" s="408">
        <v>1.0589999999999999</v>
      </c>
      <c r="F25" s="408">
        <v>1.0329999999999999</v>
      </c>
      <c r="G25" s="408">
        <v>1.022</v>
      </c>
      <c r="H25" s="408" t="s">
        <v>36</v>
      </c>
      <c r="I25" s="408" t="s">
        <v>36</v>
      </c>
      <c r="J25" s="408" t="s">
        <v>36</v>
      </c>
      <c r="K25" s="408" t="s">
        <v>36</v>
      </c>
      <c r="L25" s="408" t="s">
        <v>36</v>
      </c>
      <c r="M25" s="408" t="s">
        <v>36</v>
      </c>
      <c r="N25" s="408" t="s">
        <v>36</v>
      </c>
      <c r="O25" s="408" t="s">
        <v>36</v>
      </c>
      <c r="P25" s="408" t="s">
        <v>36</v>
      </c>
      <c r="Q25" s="409"/>
      <c r="R25" s="167"/>
      <c r="S25" s="167"/>
      <c r="T25" s="167"/>
      <c r="U25" s="167"/>
      <c r="V25" s="167"/>
      <c r="W25" s="167"/>
      <c r="X25" s="167"/>
      <c r="Y25" s="167"/>
      <c r="Z25" s="167"/>
      <c r="AA25" s="167"/>
      <c r="AB25" s="167"/>
      <c r="AC25" s="167"/>
      <c r="AD25" s="167"/>
      <c r="AE25" s="167"/>
      <c r="AF25" s="167"/>
    </row>
    <row r="26" spans="1:32" ht="13.15" customHeight="1">
      <c r="A26" s="12">
        <v>2013</v>
      </c>
      <c r="B26" s="408">
        <v>1.6040000000000001</v>
      </c>
      <c r="C26" s="408">
        <v>1.2010000000000001</v>
      </c>
      <c r="D26" s="408">
        <v>1.093</v>
      </c>
      <c r="E26" s="408">
        <v>1.0469999999999999</v>
      </c>
      <c r="F26" s="408">
        <v>1.03</v>
      </c>
      <c r="G26" s="408" t="s">
        <v>36</v>
      </c>
      <c r="H26" s="408" t="s">
        <v>36</v>
      </c>
      <c r="I26" s="408" t="s">
        <v>36</v>
      </c>
      <c r="J26" s="408" t="s">
        <v>36</v>
      </c>
      <c r="K26" s="408" t="s">
        <v>36</v>
      </c>
      <c r="L26" s="408" t="s">
        <v>36</v>
      </c>
      <c r="M26" s="408" t="s">
        <v>36</v>
      </c>
      <c r="N26" s="408" t="s">
        <v>36</v>
      </c>
      <c r="O26" s="408" t="s">
        <v>36</v>
      </c>
      <c r="P26" s="408" t="s">
        <v>36</v>
      </c>
      <c r="Q26" s="409"/>
      <c r="R26" s="167"/>
      <c r="S26" s="167"/>
      <c r="T26" s="167"/>
      <c r="U26" s="167"/>
      <c r="V26" s="167"/>
      <c r="W26" s="167"/>
      <c r="X26" s="167"/>
      <c r="Y26" s="167"/>
      <c r="Z26" s="167"/>
      <c r="AA26" s="167"/>
      <c r="AB26" s="167"/>
      <c r="AC26" s="167"/>
      <c r="AD26" s="167"/>
      <c r="AE26" s="167"/>
      <c r="AF26" s="167"/>
    </row>
    <row r="27" spans="1:32" ht="13.15" customHeight="1">
      <c r="A27" s="12">
        <v>2014</v>
      </c>
      <c r="B27" s="408">
        <v>1.625</v>
      </c>
      <c r="C27" s="408">
        <v>1.224</v>
      </c>
      <c r="D27" s="408">
        <v>1.097</v>
      </c>
      <c r="E27" s="408">
        <v>1.0489999999999999</v>
      </c>
      <c r="F27" s="408" t="s">
        <v>36</v>
      </c>
      <c r="G27" s="408" t="s">
        <v>36</v>
      </c>
      <c r="H27" s="408" t="s">
        <v>36</v>
      </c>
      <c r="I27" s="408" t="s">
        <v>36</v>
      </c>
      <c r="J27" s="408" t="s">
        <v>36</v>
      </c>
      <c r="K27" s="408" t="s">
        <v>36</v>
      </c>
      <c r="L27" s="408" t="s">
        <v>36</v>
      </c>
      <c r="M27" s="408" t="s">
        <v>36</v>
      </c>
      <c r="N27" s="408" t="s">
        <v>36</v>
      </c>
      <c r="O27" s="408" t="s">
        <v>36</v>
      </c>
      <c r="P27" s="408" t="s">
        <v>36</v>
      </c>
      <c r="Q27" s="409"/>
      <c r="R27" s="167"/>
      <c r="S27" s="167"/>
      <c r="T27" s="167"/>
      <c r="U27" s="167"/>
      <c r="V27" s="167"/>
      <c r="W27" s="167"/>
      <c r="X27" s="167"/>
      <c r="Y27" s="167"/>
      <c r="Z27" s="167"/>
      <c r="AA27" s="167"/>
      <c r="AB27" s="167"/>
      <c r="AC27" s="167"/>
      <c r="AD27" s="167"/>
      <c r="AE27" s="167"/>
      <c r="AF27" s="167"/>
    </row>
    <row r="28" spans="1:32" ht="13.15" customHeight="1">
      <c r="A28" s="12">
        <v>2015</v>
      </c>
      <c r="B28" s="408">
        <v>1.63</v>
      </c>
      <c r="C28" s="408">
        <v>1.1950000000000001</v>
      </c>
      <c r="D28" s="408">
        <v>1.085</v>
      </c>
      <c r="E28" s="408" t="s">
        <v>36</v>
      </c>
      <c r="F28" s="408" t="s">
        <v>36</v>
      </c>
      <c r="G28" s="408" t="s">
        <v>36</v>
      </c>
      <c r="H28" s="408" t="s">
        <v>36</v>
      </c>
      <c r="I28" s="408" t="s">
        <v>36</v>
      </c>
      <c r="J28" s="408" t="s">
        <v>36</v>
      </c>
      <c r="K28" s="408" t="s">
        <v>36</v>
      </c>
      <c r="L28" s="408" t="s">
        <v>36</v>
      </c>
      <c r="M28" s="408" t="s">
        <v>36</v>
      </c>
      <c r="N28" s="408" t="s">
        <v>36</v>
      </c>
      <c r="O28" s="408" t="s">
        <v>36</v>
      </c>
      <c r="P28" s="408" t="s">
        <v>36</v>
      </c>
      <c r="Q28" s="409"/>
      <c r="R28" s="167"/>
      <c r="S28" s="167"/>
      <c r="T28" s="167"/>
      <c r="U28" s="167"/>
      <c r="V28" s="167"/>
      <c r="W28" s="167"/>
      <c r="X28" s="167"/>
      <c r="Y28" s="167"/>
      <c r="Z28" s="167"/>
      <c r="AA28" s="167"/>
      <c r="AB28" s="167"/>
      <c r="AC28" s="167"/>
      <c r="AD28" s="167"/>
      <c r="AE28" s="167"/>
      <c r="AF28" s="167"/>
    </row>
    <row r="29" spans="1:32" ht="13.15" customHeight="1">
      <c r="A29" s="12">
        <v>2016</v>
      </c>
      <c r="B29" s="408">
        <v>1.6060000000000001</v>
      </c>
      <c r="C29" s="408">
        <v>1.1870000000000001</v>
      </c>
      <c r="D29" s="408" t="s">
        <v>36</v>
      </c>
      <c r="E29" s="408" t="s">
        <v>36</v>
      </c>
      <c r="F29" s="408" t="s">
        <v>36</v>
      </c>
      <c r="G29" s="408" t="s">
        <v>36</v>
      </c>
      <c r="H29" s="408" t="s">
        <v>36</v>
      </c>
      <c r="I29" s="408" t="s">
        <v>36</v>
      </c>
      <c r="J29" s="408" t="s">
        <v>36</v>
      </c>
      <c r="K29" s="408" t="s">
        <v>36</v>
      </c>
      <c r="L29" s="408" t="s">
        <v>36</v>
      </c>
      <c r="M29" s="408" t="s">
        <v>36</v>
      </c>
      <c r="N29" s="408" t="s">
        <v>36</v>
      </c>
      <c r="O29" s="408" t="s">
        <v>36</v>
      </c>
      <c r="P29" s="408" t="s">
        <v>36</v>
      </c>
      <c r="Q29" s="409"/>
      <c r="R29" s="167"/>
      <c r="S29" s="167"/>
      <c r="T29" s="167"/>
      <c r="U29" s="167"/>
      <c r="V29" s="167"/>
      <c r="W29" s="167"/>
      <c r="X29" s="167"/>
      <c r="Y29" s="167"/>
      <c r="Z29" s="167"/>
      <c r="AA29" s="167"/>
      <c r="AB29" s="167"/>
      <c r="AC29" s="167"/>
      <c r="AD29" s="167"/>
      <c r="AE29" s="167"/>
      <c r="AF29" s="167"/>
    </row>
    <row r="30" spans="1:32" ht="13.15" customHeight="1">
      <c r="A30" s="12">
        <v>2017</v>
      </c>
      <c r="B30" s="408">
        <v>1.5880000000000001</v>
      </c>
      <c r="C30" s="408" t="s">
        <v>36</v>
      </c>
      <c r="D30" s="408" t="s">
        <v>36</v>
      </c>
      <c r="E30" s="408" t="s">
        <v>36</v>
      </c>
      <c r="F30" s="408" t="s">
        <v>36</v>
      </c>
      <c r="G30" s="408" t="s">
        <v>36</v>
      </c>
      <c r="H30" s="408" t="s">
        <v>36</v>
      </c>
      <c r="I30" s="408" t="s">
        <v>36</v>
      </c>
      <c r="J30" s="408" t="s">
        <v>36</v>
      </c>
      <c r="K30" s="408" t="s">
        <v>36</v>
      </c>
      <c r="L30" s="408" t="s">
        <v>36</v>
      </c>
      <c r="M30" s="408" t="s">
        <v>36</v>
      </c>
      <c r="N30" s="408" t="s">
        <v>36</v>
      </c>
      <c r="O30" s="408" t="s">
        <v>36</v>
      </c>
      <c r="P30" s="408" t="s">
        <v>36</v>
      </c>
      <c r="Q30" s="409"/>
      <c r="R30" s="167"/>
      <c r="S30" s="167"/>
      <c r="T30" s="167"/>
      <c r="U30" s="167"/>
      <c r="V30" s="167"/>
      <c r="W30" s="167"/>
      <c r="X30" s="167"/>
      <c r="Y30" s="167"/>
      <c r="Z30" s="167"/>
      <c r="AA30" s="167"/>
      <c r="AB30" s="167"/>
      <c r="AC30" s="167"/>
      <c r="AD30" s="167"/>
      <c r="AE30" s="167"/>
      <c r="AF30" s="167"/>
    </row>
    <row r="31" spans="1:32" ht="13.15" customHeight="1">
      <c r="B31" s="410"/>
      <c r="C31" s="410"/>
      <c r="D31" s="410"/>
      <c r="E31" s="410"/>
      <c r="F31" s="410"/>
      <c r="G31" s="410"/>
      <c r="H31" s="410"/>
      <c r="I31" s="408"/>
      <c r="J31" s="410"/>
      <c r="K31" s="410"/>
      <c r="L31" s="410"/>
      <c r="M31" s="410"/>
      <c r="N31" s="410"/>
      <c r="O31" s="410"/>
      <c r="P31" s="410"/>
      <c r="Q31" s="409"/>
    </row>
    <row r="32" spans="1:32" ht="13.15" customHeight="1">
      <c r="A32" s="12" t="s">
        <v>20</v>
      </c>
      <c r="B32" s="13">
        <f>+ROUND(B30,3)</f>
        <v>1.5880000000000001</v>
      </c>
      <c r="C32" s="13">
        <f>+ROUND(C29,3)</f>
        <v>1.1870000000000001</v>
      </c>
      <c r="D32" s="13">
        <f>ROUND(D28,3)</f>
        <v>1.085</v>
      </c>
      <c r="E32" s="13">
        <f>ROUND(E27,3)</f>
        <v>1.0489999999999999</v>
      </c>
      <c r="F32" s="13">
        <f>ROUND(F26,3)</f>
        <v>1.03</v>
      </c>
      <c r="G32" s="13">
        <f>ROUND(G25,3)</f>
        <v>1.022</v>
      </c>
      <c r="H32" s="13">
        <f>ROUND(H24,3)</f>
        <v>1.016</v>
      </c>
      <c r="I32" s="13">
        <f>ROUND(I23,3)</f>
        <v>1.0109999999999999</v>
      </c>
      <c r="J32" s="13">
        <f>AVERAGE(J17:J22)</f>
        <v>1.01</v>
      </c>
      <c r="K32" s="13">
        <f>AVERAGE(K16:K21)</f>
        <v>1.0063333333333333</v>
      </c>
      <c r="L32" s="13">
        <f>AVERAGE(L15:L20)</f>
        <v>1.0065</v>
      </c>
      <c r="M32" s="13">
        <f>AVERAGE(M14:M19)</f>
        <v>1.0029999999999999</v>
      </c>
      <c r="N32" s="13">
        <f>AVERAGE(N13:N18)</f>
        <v>1.0023333333333333</v>
      </c>
      <c r="O32" s="13">
        <f>AVERAGE(O12:O17)</f>
        <v>1.0023333333333333</v>
      </c>
      <c r="P32" s="13">
        <f>AVERAGE(P11:P16)</f>
        <v>1.0021666666666664</v>
      </c>
      <c r="Q32" s="13">
        <f>AVERAGE(Q10:Q15)</f>
        <v>1.0008333333333332</v>
      </c>
      <c r="R32" s="167"/>
      <c r="S32" s="167"/>
      <c r="T32" s="167"/>
      <c r="U32" s="167"/>
      <c r="V32" s="167"/>
      <c r="W32" s="167"/>
      <c r="X32" s="167"/>
      <c r="Y32" s="167"/>
      <c r="Z32" s="167"/>
      <c r="AA32" s="167"/>
      <c r="AB32" s="167"/>
      <c r="AC32" s="167"/>
      <c r="AD32" s="167"/>
      <c r="AE32" s="167"/>
      <c r="AF32" s="167"/>
    </row>
    <row r="33" spans="1:32" ht="13.15" customHeight="1">
      <c r="A33" s="12" t="s">
        <v>21</v>
      </c>
      <c r="B33" s="13">
        <f t="shared" ref="B33:O33" si="0">B32*C33</f>
        <v>2.4240151039896691</v>
      </c>
      <c r="C33" s="13">
        <f t="shared" si="0"/>
        <v>1.5264578740489101</v>
      </c>
      <c r="D33" s="13">
        <f t="shared" si="0"/>
        <v>1.2859796748516512</v>
      </c>
      <c r="E33" s="13">
        <f t="shared" si="0"/>
        <v>1.1852347233655771</v>
      </c>
      <c r="F33" s="13">
        <f t="shared" si="0"/>
        <v>1.1298710422932099</v>
      </c>
      <c r="G33" s="13">
        <f t="shared" si="0"/>
        <v>1.0969621769836988</v>
      </c>
      <c r="H33" s="13">
        <f t="shared" si="0"/>
        <v>1.0733485097687856</v>
      </c>
      <c r="I33" s="13">
        <f t="shared" si="0"/>
        <v>1.0564453836306944</v>
      </c>
      <c r="J33" s="13">
        <f t="shared" si="0"/>
        <v>1.044950923472497</v>
      </c>
      <c r="K33" s="13">
        <f t="shared" si="0"/>
        <v>1.0346048747252445</v>
      </c>
      <c r="L33" s="13">
        <f t="shared" si="0"/>
        <v>1.0280936151625484</v>
      </c>
      <c r="M33" s="13">
        <f t="shared" si="0"/>
        <v>1.021454163102383</v>
      </c>
      <c r="N33" s="13">
        <f t="shared" si="0"/>
        <v>1.0183989662037718</v>
      </c>
      <c r="O33" s="13">
        <f t="shared" si="0"/>
        <v>1.0160282336585684</v>
      </c>
      <c r="P33" s="13">
        <f>P32*Q33</f>
        <v>1.0136630199453627</v>
      </c>
      <c r="Q33" s="13">
        <f>Q32*'Exhibit 2.1.2'!B27</f>
        <v>1.0114714983655708</v>
      </c>
      <c r="R33" s="167"/>
      <c r="S33" s="167"/>
      <c r="T33" s="167"/>
      <c r="U33" s="167"/>
      <c r="V33" s="167"/>
      <c r="W33" s="167"/>
      <c r="X33" s="167"/>
      <c r="Y33" s="167"/>
      <c r="Z33" s="167"/>
      <c r="AA33" s="167"/>
      <c r="AB33" s="167"/>
      <c r="AC33" s="167"/>
      <c r="AD33" s="167"/>
      <c r="AE33" s="167"/>
      <c r="AF33" s="167"/>
    </row>
    <row r="34" spans="1:32" ht="13.15" customHeight="1">
      <c r="A34" s="154"/>
      <c r="B34" s="154"/>
      <c r="C34" s="154"/>
      <c r="D34" s="154"/>
      <c r="E34" s="154"/>
      <c r="F34" s="154"/>
      <c r="G34" s="154"/>
      <c r="H34" s="154"/>
      <c r="I34" s="154"/>
      <c r="J34" s="154"/>
      <c r="K34" s="154"/>
      <c r="L34" s="154"/>
      <c r="M34" s="154"/>
      <c r="N34" s="154"/>
      <c r="O34" s="154"/>
      <c r="P34" s="154"/>
    </row>
    <row r="35" spans="1:32" ht="13.15" customHeight="1">
      <c r="A35" s="9" t="s">
        <v>22</v>
      </c>
      <c r="B35" s="232" t="s">
        <v>424</v>
      </c>
      <c r="C35" s="228"/>
      <c r="D35" s="228"/>
      <c r="E35" s="228"/>
      <c r="F35" s="228"/>
      <c r="G35" s="228"/>
      <c r="H35" s="228"/>
      <c r="I35" s="228"/>
      <c r="J35" s="228"/>
      <c r="K35" s="228"/>
      <c r="L35" s="228"/>
      <c r="M35" s="228"/>
      <c r="N35" s="228"/>
      <c r="O35" s="228"/>
      <c r="P35" s="228"/>
    </row>
    <row r="36" spans="1:32" ht="13.15" customHeight="1">
      <c r="A36" s="9"/>
      <c r="B36" s="232"/>
      <c r="C36" s="340"/>
      <c r="D36" s="340"/>
      <c r="E36" s="340"/>
      <c r="F36" s="340"/>
      <c r="G36" s="340"/>
      <c r="H36" s="340"/>
      <c r="I36" s="340"/>
      <c r="J36" s="340"/>
      <c r="K36" s="340"/>
      <c r="L36" s="340"/>
      <c r="M36" s="340"/>
      <c r="N36" s="340"/>
      <c r="O36" s="340"/>
      <c r="P36" s="340"/>
    </row>
    <row r="37" spans="1:32">
      <c r="C37" s="167"/>
      <c r="D37" s="167"/>
      <c r="E37" s="167"/>
      <c r="F37" s="167"/>
      <c r="G37" s="167"/>
      <c r="H37" s="165" t="s">
        <v>519</v>
      </c>
      <c r="J37" s="202" t="str">
        <f t="shared" ref="J37:Q37" si="1">+J4</f>
        <v>123/111</v>
      </c>
      <c r="K37" s="202" t="str">
        <f t="shared" si="1"/>
        <v>135/123</v>
      </c>
      <c r="L37" s="202" t="str">
        <f t="shared" si="1"/>
        <v>147/135</v>
      </c>
      <c r="M37" s="202" t="str">
        <f t="shared" si="1"/>
        <v>159/147</v>
      </c>
      <c r="N37" s="202" t="str">
        <f t="shared" si="1"/>
        <v>171/159</v>
      </c>
      <c r="O37" s="202" t="str">
        <f t="shared" si="1"/>
        <v>183/171</v>
      </c>
      <c r="P37" s="202" t="str">
        <f t="shared" si="1"/>
        <v>195/183</v>
      </c>
      <c r="Q37" s="202" t="str">
        <f t="shared" si="1"/>
        <v>207/195</v>
      </c>
    </row>
    <row r="38" spans="1:32">
      <c r="G38" s="165"/>
      <c r="H38" s="166" t="s">
        <v>520</v>
      </c>
      <c r="J38" s="201">
        <f>AVERAGE(J14:J19)</f>
        <v>1.0103333333333333</v>
      </c>
      <c r="K38" s="201">
        <f>AVERAGE(K13:K18)</f>
        <v>1.0061666666666667</v>
      </c>
      <c r="L38" s="201">
        <f>AVERAGE(L12:L17)</f>
        <v>1.0050000000000001</v>
      </c>
      <c r="M38" s="201">
        <f>AVERAGE(M11:M16)</f>
        <v>1.0033333333333332</v>
      </c>
      <c r="N38" s="201">
        <f>AVERAGE(N10:N15)</f>
        <v>1.0026666666666666</v>
      </c>
      <c r="O38" s="201">
        <f>AVERAGE(O9:O14)</f>
        <v>1.0011666666666665</v>
      </c>
      <c r="P38" s="201">
        <f>AVERAGE(P8:P13)</f>
        <v>1.002</v>
      </c>
      <c r="Q38" s="201">
        <f>AVERAGE(Q7:Q12)</f>
        <v>1.0008333333333332</v>
      </c>
    </row>
    <row r="39" spans="1:32">
      <c r="G39" s="166"/>
      <c r="I39" s="201"/>
      <c r="J39" s="201"/>
      <c r="K39" s="201"/>
      <c r="L39" s="201"/>
      <c r="M39" s="201"/>
      <c r="N39" s="201"/>
      <c r="O39" s="201"/>
      <c r="P39" s="201"/>
    </row>
    <row r="41" spans="1:32">
      <c r="P41" s="167"/>
    </row>
    <row r="42" spans="1:32">
      <c r="O42" s="167"/>
    </row>
    <row r="43" spans="1:32">
      <c r="N43" s="167"/>
    </row>
    <row r="44" spans="1:32">
      <c r="M44" s="167"/>
    </row>
    <row r="45" spans="1:32">
      <c r="L45" s="167"/>
    </row>
    <row r="46" spans="1:32">
      <c r="K46" s="167"/>
    </row>
    <row r="47" spans="1:32">
      <c r="J47" s="167"/>
    </row>
    <row r="48" spans="1:32">
      <c r="I48" s="167"/>
    </row>
    <row r="65" ht="27" customHeight="1"/>
  </sheetData>
  <sheetProtection selectLockedCells="1" selectUnlockedCells="1"/>
  <mergeCells count="2">
    <mergeCell ref="A1:Q1"/>
    <mergeCell ref="B3:Q3"/>
  </mergeCells>
  <pageMargins left="0.7" right="0.7" top="0.75" bottom="0.75" header="0.3" footer="0.3"/>
  <pageSetup scale="88"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I48"/>
  <sheetViews>
    <sheetView zoomScaleNormal="100" zoomScaleSheetLayoutView="115" workbookViewId="0">
      <selection sqref="A1:H1"/>
    </sheetView>
  </sheetViews>
  <sheetFormatPr defaultColWidth="9.140625" defaultRowHeight="12.75"/>
  <cols>
    <col min="1" max="1" width="8.140625" style="270" customWidth="1"/>
    <col min="2" max="2" width="11.5703125" style="270" customWidth="1"/>
    <col min="3" max="3" width="6.7109375" style="270" customWidth="1"/>
    <col min="4" max="4" width="20.28515625" style="270" customWidth="1"/>
    <col min="5" max="5" width="6.7109375" style="270" customWidth="1"/>
    <col min="6" max="6" width="18.42578125" style="270" customWidth="1"/>
    <col min="7" max="7" width="7.7109375" style="270" customWidth="1"/>
    <col min="8" max="8" width="7.140625" style="270" customWidth="1"/>
    <col min="9" max="16384" width="9.140625" style="270"/>
  </cols>
  <sheetData>
    <row r="1" spans="1:9">
      <c r="A1" s="547" t="s">
        <v>115</v>
      </c>
      <c r="B1" s="547"/>
      <c r="C1" s="547"/>
      <c r="D1" s="547"/>
      <c r="E1" s="547"/>
      <c r="F1" s="547"/>
      <c r="G1" s="547"/>
      <c r="H1" s="547"/>
    </row>
    <row r="2" spans="1:9">
      <c r="A2" s="274"/>
      <c r="B2" s="274"/>
      <c r="C2" s="39"/>
      <c r="D2" s="39"/>
      <c r="E2" s="39"/>
      <c r="F2" s="274"/>
      <c r="H2" s="274"/>
    </row>
    <row r="3" spans="1:9">
      <c r="A3" s="274"/>
      <c r="B3" s="274"/>
      <c r="C3" s="39" t="s">
        <v>47</v>
      </c>
      <c r="D3" s="39"/>
      <c r="E3" s="39" t="s">
        <v>48</v>
      </c>
      <c r="F3" s="274"/>
      <c r="G3" s="61" t="s">
        <v>49</v>
      </c>
      <c r="H3" s="274"/>
    </row>
    <row r="4" spans="1:9">
      <c r="A4" s="274"/>
      <c r="B4" s="274"/>
      <c r="C4" s="274" t="s">
        <v>116</v>
      </c>
      <c r="D4" s="274"/>
      <c r="E4" s="274" t="s">
        <v>117</v>
      </c>
      <c r="F4" s="274"/>
      <c r="G4" s="274" t="s">
        <v>118</v>
      </c>
      <c r="H4" s="274"/>
    </row>
    <row r="5" spans="1:9">
      <c r="A5" s="274" t="s">
        <v>60</v>
      </c>
      <c r="B5" s="274"/>
      <c r="C5" s="274" t="s">
        <v>119</v>
      </c>
      <c r="D5" s="274"/>
      <c r="E5" s="274" t="s">
        <v>120</v>
      </c>
      <c r="F5" s="274"/>
      <c r="G5" s="274" t="s">
        <v>121</v>
      </c>
      <c r="H5" s="274"/>
    </row>
    <row r="6" spans="1:9">
      <c r="A6" s="38" t="s">
        <v>8</v>
      </c>
      <c r="B6" s="38"/>
      <c r="C6" s="38" t="s">
        <v>122</v>
      </c>
      <c r="D6" s="38"/>
      <c r="E6" s="38" t="s">
        <v>123</v>
      </c>
      <c r="F6" s="38"/>
      <c r="G6" s="38" t="s">
        <v>124</v>
      </c>
      <c r="H6" s="38"/>
    </row>
    <row r="7" spans="1:9">
      <c r="A7" s="274"/>
    </row>
    <row r="8" spans="1:9" hidden="1">
      <c r="A8" s="274">
        <v>1985</v>
      </c>
      <c r="C8" s="66">
        <v>0</v>
      </c>
      <c r="E8" s="66">
        <v>0</v>
      </c>
      <c r="G8" s="66">
        <v>0</v>
      </c>
      <c r="I8" s="66"/>
    </row>
    <row r="9" spans="1:9">
      <c r="A9" s="274">
        <v>1986</v>
      </c>
      <c r="C9" s="452">
        <v>0</v>
      </c>
      <c r="D9" s="409"/>
      <c r="E9" s="452">
        <v>0</v>
      </c>
      <c r="G9" s="66">
        <f t="shared" ref="G9:G43" si="0">(C9+1)*(1+E9)-1</f>
        <v>0</v>
      </c>
      <c r="I9" s="66"/>
    </row>
    <row r="10" spans="1:9">
      <c r="A10" s="274">
        <v>1987</v>
      </c>
      <c r="C10" s="452">
        <v>0</v>
      </c>
      <c r="D10" s="409"/>
      <c r="E10" s="452">
        <v>0</v>
      </c>
      <c r="G10" s="66">
        <f t="shared" si="0"/>
        <v>0</v>
      </c>
      <c r="I10" s="66"/>
    </row>
    <row r="11" spans="1:9">
      <c r="A11" s="274">
        <v>1988</v>
      </c>
      <c r="C11" s="452">
        <v>0</v>
      </c>
      <c r="D11" s="409"/>
      <c r="E11" s="452">
        <v>0</v>
      </c>
      <c r="G11" s="66">
        <f t="shared" si="0"/>
        <v>0</v>
      </c>
      <c r="I11" s="66"/>
    </row>
    <row r="12" spans="1:9">
      <c r="A12" s="274">
        <v>1989</v>
      </c>
      <c r="C12" s="452">
        <v>0</v>
      </c>
      <c r="D12" s="409"/>
      <c r="E12" s="452">
        <v>0</v>
      </c>
      <c r="G12" s="66">
        <f t="shared" si="0"/>
        <v>0</v>
      </c>
      <c r="I12" s="66"/>
    </row>
    <row r="13" spans="1:9">
      <c r="A13" s="274">
        <v>1990</v>
      </c>
      <c r="C13" s="452">
        <v>-7.0000000000000001E-3</v>
      </c>
      <c r="D13" s="409"/>
      <c r="E13" s="452">
        <v>0.19900000000000001</v>
      </c>
      <c r="G13" s="66">
        <f t="shared" si="0"/>
        <v>0.19060699999999997</v>
      </c>
      <c r="I13" s="66"/>
    </row>
    <row r="14" spans="1:9">
      <c r="A14" s="274">
        <v>1991</v>
      </c>
      <c r="C14" s="452">
        <v>-1.6E-2</v>
      </c>
      <c r="D14" s="409"/>
      <c r="E14" s="452">
        <v>0.14699999999999999</v>
      </c>
      <c r="G14" s="66">
        <f t="shared" si="0"/>
        <v>0.1286480000000001</v>
      </c>
      <c r="I14" s="66"/>
    </row>
    <row r="15" spans="1:9">
      <c r="A15" s="274">
        <v>1992</v>
      </c>
      <c r="C15" s="452">
        <v>5.0000000000000001E-3</v>
      </c>
      <c r="D15" s="409"/>
      <c r="E15" s="452">
        <v>-8.4000000000000005E-2</v>
      </c>
      <c r="G15" s="66">
        <f t="shared" si="0"/>
        <v>-7.9420000000000046E-2</v>
      </c>
      <c r="I15" s="66"/>
    </row>
    <row r="16" spans="1:9">
      <c r="A16" s="274">
        <v>1993</v>
      </c>
      <c r="C16" s="452">
        <v>-7.0000000000000001E-3</v>
      </c>
      <c r="D16" s="409"/>
      <c r="E16" s="452">
        <v>-0.18099999999999999</v>
      </c>
      <c r="G16" s="66">
        <f t="shared" si="0"/>
        <v>-0.18673300000000004</v>
      </c>
      <c r="I16" s="66"/>
    </row>
    <row r="17" spans="1:9">
      <c r="A17" s="274">
        <v>1994</v>
      </c>
      <c r="C17" s="452">
        <v>-2.5999999999999999E-2</v>
      </c>
      <c r="D17" s="409"/>
      <c r="E17" s="452">
        <v>3.0000000000000001E-3</v>
      </c>
      <c r="G17" s="66">
        <f t="shared" si="0"/>
        <v>-2.3078000000000154E-2</v>
      </c>
      <c r="I17" s="66"/>
    </row>
    <row r="18" spans="1:9">
      <c r="A18" s="274">
        <v>1995</v>
      </c>
      <c r="C18" s="452">
        <v>0</v>
      </c>
      <c r="D18" s="409"/>
      <c r="E18" s="452">
        <v>5.0000000000000001E-3</v>
      </c>
      <c r="G18" s="66">
        <f t="shared" si="0"/>
        <v>4.9999999999998934E-3</v>
      </c>
      <c r="I18" s="66"/>
    </row>
    <row r="19" spans="1:9">
      <c r="A19" s="274">
        <v>1996</v>
      </c>
      <c r="C19" s="452">
        <v>0</v>
      </c>
      <c r="D19" s="409"/>
      <c r="E19" s="452">
        <v>4.0000000000000001E-3</v>
      </c>
      <c r="G19" s="66">
        <f t="shared" si="0"/>
        <v>4.0000000000000036E-3</v>
      </c>
      <c r="I19" s="66"/>
    </row>
    <row r="20" spans="1:9">
      <c r="A20" s="274">
        <v>1997</v>
      </c>
      <c r="C20" s="452">
        <v>0</v>
      </c>
      <c r="D20" s="409"/>
      <c r="E20" s="452">
        <v>2E-3</v>
      </c>
      <c r="G20" s="66">
        <f t="shared" si="0"/>
        <v>2.0000000000000018E-3</v>
      </c>
      <c r="I20" s="66"/>
    </row>
    <row r="21" spans="1:9">
      <c r="A21" s="274">
        <v>1998</v>
      </c>
      <c r="C21" s="452">
        <v>0.126</v>
      </c>
      <c r="D21" s="409"/>
      <c r="E21" s="452">
        <v>0</v>
      </c>
      <c r="G21" s="66">
        <f t="shared" si="0"/>
        <v>0.12599999999999989</v>
      </c>
      <c r="I21" s="66"/>
    </row>
    <row r="22" spans="1:9">
      <c r="A22" s="274">
        <v>1999</v>
      </c>
      <c r="C22" s="452">
        <v>0.126</v>
      </c>
      <c r="D22" s="409"/>
      <c r="E22" s="452">
        <v>0</v>
      </c>
      <c r="G22" s="66">
        <f t="shared" si="0"/>
        <v>0.12599999999999989</v>
      </c>
      <c r="I22" s="66"/>
    </row>
    <row r="23" spans="1:9">
      <c r="A23" s="274">
        <v>2000</v>
      </c>
      <c r="C23" s="452">
        <v>7.0000000000000007E-2</v>
      </c>
      <c r="D23" s="409"/>
      <c r="E23" s="452">
        <v>0</v>
      </c>
      <c r="G23" s="66">
        <f t="shared" si="0"/>
        <v>7.0000000000000062E-2</v>
      </c>
      <c r="I23" s="66"/>
    </row>
    <row r="24" spans="1:9">
      <c r="A24" s="274">
        <v>2001</v>
      </c>
      <c r="C24" s="452">
        <v>6.6000000000000003E-2</v>
      </c>
      <c r="D24" s="409"/>
      <c r="E24" s="452">
        <v>0</v>
      </c>
      <c r="G24" s="66">
        <f t="shared" si="0"/>
        <v>6.6000000000000059E-2</v>
      </c>
      <c r="I24" s="66"/>
    </row>
    <row r="25" spans="1:9">
      <c r="A25" s="274">
        <v>2002</v>
      </c>
      <c r="C25" s="452">
        <v>-5.6000000000000001E-2</v>
      </c>
      <c r="D25" s="409"/>
      <c r="E25" s="452">
        <v>0</v>
      </c>
      <c r="G25" s="66">
        <f t="shared" si="0"/>
        <v>-5.600000000000005E-2</v>
      </c>
      <c r="I25" s="66"/>
    </row>
    <row r="26" spans="1:9">
      <c r="A26" s="274">
        <v>2003</v>
      </c>
      <c r="C26" s="452">
        <v>-0.06</v>
      </c>
      <c r="D26" s="409"/>
      <c r="E26" s="452">
        <v>0</v>
      </c>
      <c r="G26" s="66">
        <f t="shared" si="0"/>
        <v>-6.0000000000000053E-2</v>
      </c>
      <c r="I26" s="66"/>
    </row>
    <row r="27" spans="1:9">
      <c r="A27" s="274">
        <v>2004</v>
      </c>
      <c r="C27" s="452">
        <v>-0.24399999999999999</v>
      </c>
      <c r="D27" s="409"/>
      <c r="E27" s="452">
        <v>-0.125</v>
      </c>
      <c r="G27" s="66">
        <f t="shared" si="0"/>
        <v>-0.33850000000000002</v>
      </c>
      <c r="I27" s="66"/>
    </row>
    <row r="28" spans="1:9">
      <c r="A28" s="274">
        <v>2005</v>
      </c>
      <c r="C28" s="452">
        <v>0</v>
      </c>
      <c r="D28" s="409"/>
      <c r="E28" s="452">
        <v>-0.13900000000000001</v>
      </c>
      <c r="G28" s="66">
        <f t="shared" si="0"/>
        <v>-0.13900000000000001</v>
      </c>
      <c r="I28" s="66"/>
    </row>
    <row r="29" spans="1:9">
      <c r="A29" s="274">
        <v>2006</v>
      </c>
      <c r="C29" s="452">
        <v>1E-3</v>
      </c>
      <c r="D29" s="409"/>
      <c r="E29" s="452">
        <v>-5.1999999999999998E-2</v>
      </c>
      <c r="G29" s="66">
        <f t="shared" si="0"/>
        <v>-5.1052000000000097E-2</v>
      </c>
      <c r="I29" s="66"/>
    </row>
    <row r="30" spans="1:9">
      <c r="A30" s="274">
        <v>2007</v>
      </c>
      <c r="C30" s="452">
        <v>1E-3</v>
      </c>
      <c r="D30" s="409"/>
      <c r="E30" s="452">
        <v>0</v>
      </c>
      <c r="G30" s="66">
        <f t="shared" si="0"/>
        <v>9.9999999999988987E-4</v>
      </c>
      <c r="I30" s="66"/>
    </row>
    <row r="31" spans="1:9">
      <c r="A31" s="274">
        <v>2008</v>
      </c>
      <c r="C31" s="452">
        <v>2E-3</v>
      </c>
      <c r="D31" s="409"/>
      <c r="E31" s="452">
        <v>3.0000000000000001E-3</v>
      </c>
      <c r="G31" s="66">
        <f t="shared" si="0"/>
        <v>5.0059999999998439E-3</v>
      </c>
      <c r="I31" s="66"/>
    </row>
    <row r="32" spans="1:9">
      <c r="A32" s="274">
        <v>2009</v>
      </c>
      <c r="C32" s="452">
        <v>0</v>
      </c>
      <c r="D32" s="409"/>
      <c r="E32" s="452">
        <v>0.01</v>
      </c>
      <c r="G32" s="66">
        <f t="shared" si="0"/>
        <v>1.0000000000000009E-2</v>
      </c>
      <c r="I32" s="66"/>
    </row>
    <row r="33" spans="1:9">
      <c r="A33" s="274">
        <v>2010</v>
      </c>
      <c r="C33" s="452">
        <v>0</v>
      </c>
      <c r="D33" s="409"/>
      <c r="E33" s="452">
        <v>0</v>
      </c>
      <c r="G33" s="66">
        <f t="shared" si="0"/>
        <v>0</v>
      </c>
      <c r="I33" s="66"/>
    </row>
    <row r="34" spans="1:9">
      <c r="A34" s="274">
        <v>2011</v>
      </c>
      <c r="C34" s="452">
        <v>-0.02</v>
      </c>
      <c r="D34" s="409"/>
      <c r="E34" s="452">
        <v>0</v>
      </c>
      <c r="G34" s="66">
        <f t="shared" si="0"/>
        <v>-2.0000000000000018E-2</v>
      </c>
      <c r="I34" s="66"/>
    </row>
    <row r="35" spans="1:9">
      <c r="A35" s="274">
        <v>2012</v>
      </c>
      <c r="C35" s="452">
        <v>-4.3999999999999997E-2</v>
      </c>
      <c r="D35" s="409"/>
      <c r="E35" s="452">
        <v>0</v>
      </c>
      <c r="G35" s="66">
        <f t="shared" si="0"/>
        <v>-4.4000000000000039E-2</v>
      </c>
      <c r="I35" s="66"/>
    </row>
    <row r="36" spans="1:9">
      <c r="A36" s="274">
        <v>2013</v>
      </c>
      <c r="C36" s="452">
        <v>-8.2000000000000003E-2</v>
      </c>
      <c r="D36" s="409"/>
      <c r="E36" s="452">
        <v>2E-3</v>
      </c>
      <c r="G36" s="66">
        <f t="shared" si="0"/>
        <v>-8.0164000000000013E-2</v>
      </c>
      <c r="I36" s="66"/>
    </row>
    <row r="37" spans="1:9">
      <c r="A37" s="274">
        <v>2014</v>
      </c>
      <c r="C37" s="452">
        <v>-5.8999999999999997E-2</v>
      </c>
      <c r="D37" s="409"/>
      <c r="E37" s="452">
        <v>1.2999999999999999E-2</v>
      </c>
      <c r="F37" s="55"/>
      <c r="G37" s="66">
        <f t="shared" si="0"/>
        <v>-4.6767000000000003E-2</v>
      </c>
      <c r="I37" s="66"/>
    </row>
    <row r="38" spans="1:9">
      <c r="A38" s="274">
        <v>2015</v>
      </c>
      <c r="C38" s="452">
        <v>-0.02</v>
      </c>
      <c r="D38" s="409"/>
      <c r="E38" s="452">
        <v>0</v>
      </c>
      <c r="F38" s="55"/>
      <c r="G38" s="66">
        <f t="shared" si="0"/>
        <v>-2.0000000000000018E-2</v>
      </c>
      <c r="I38" s="66"/>
    </row>
    <row r="39" spans="1:9">
      <c r="A39" s="274">
        <v>2016</v>
      </c>
      <c r="C39" s="452">
        <v>-5.0000000000000001E-3</v>
      </c>
      <c r="D39" s="409"/>
      <c r="E39" s="452">
        <v>0</v>
      </c>
      <c r="F39" s="55"/>
      <c r="G39" s="66">
        <f t="shared" si="0"/>
        <v>-5.0000000000000044E-3</v>
      </c>
      <c r="I39" s="66"/>
    </row>
    <row r="40" spans="1:9">
      <c r="A40" s="274">
        <v>2017</v>
      </c>
      <c r="C40" s="452">
        <v>-4.0000000000000001E-3</v>
      </c>
      <c r="D40" s="409"/>
      <c r="E40" s="452">
        <v>0</v>
      </c>
      <c r="F40" s="55"/>
      <c r="G40" s="66">
        <f t="shared" si="0"/>
        <v>-4.0000000000000036E-3</v>
      </c>
      <c r="I40" s="66"/>
    </row>
    <row r="41" spans="1:9">
      <c r="A41" s="274">
        <v>2018</v>
      </c>
      <c r="C41" s="452">
        <v>-3.0000000000000001E-3</v>
      </c>
      <c r="D41" s="409"/>
      <c r="E41" s="452">
        <v>0</v>
      </c>
      <c r="G41" s="66">
        <f t="shared" si="0"/>
        <v>-3.0000000000000027E-3</v>
      </c>
      <c r="I41" s="66"/>
    </row>
    <row r="42" spans="1:9" s="361" customFormat="1">
      <c r="A42" s="363">
        <v>2019</v>
      </c>
      <c r="C42" s="452">
        <v>0</v>
      </c>
      <c r="D42" s="409"/>
      <c r="E42" s="452">
        <v>0</v>
      </c>
      <c r="G42" s="66">
        <f t="shared" si="0"/>
        <v>0</v>
      </c>
      <c r="I42" s="66"/>
    </row>
    <row r="43" spans="1:9">
      <c r="A43" s="380">
        <v>2020</v>
      </c>
      <c r="B43" s="379"/>
      <c r="C43" s="452">
        <v>0</v>
      </c>
      <c r="D43" s="409"/>
      <c r="E43" s="452">
        <v>0</v>
      </c>
      <c r="F43" s="379"/>
      <c r="G43" s="66">
        <f t="shared" si="0"/>
        <v>0</v>
      </c>
      <c r="H43" s="379"/>
      <c r="I43" s="66"/>
    </row>
    <row r="44" spans="1:9" s="379" customFormat="1">
      <c r="A44" s="243" t="s">
        <v>434</v>
      </c>
      <c r="C44" s="452">
        <v>0</v>
      </c>
      <c r="D44" s="409"/>
      <c r="E44" s="452">
        <v>0</v>
      </c>
      <c r="G44" s="66">
        <f t="shared" ref="G44" si="1">(C44+1)*(1+E44)-1</f>
        <v>0</v>
      </c>
      <c r="I44" s="66"/>
    </row>
    <row r="45" spans="1:9">
      <c r="C45" s="66"/>
      <c r="E45" s="66"/>
    </row>
    <row r="46" spans="1:9" ht="54.6" customHeight="1">
      <c r="A46" s="45" t="s">
        <v>22</v>
      </c>
      <c r="B46" s="556" t="s">
        <v>422</v>
      </c>
      <c r="C46" s="556"/>
      <c r="D46" s="556"/>
      <c r="E46" s="556"/>
      <c r="F46" s="556"/>
      <c r="G46" s="556"/>
      <c r="H46" s="556"/>
    </row>
    <row r="47" spans="1:9" ht="27" customHeight="1">
      <c r="A47" s="45" t="s">
        <v>28</v>
      </c>
      <c r="B47" s="533" t="s">
        <v>125</v>
      </c>
      <c r="C47" s="533"/>
      <c r="D47" s="533"/>
      <c r="E47" s="533"/>
      <c r="F47" s="533"/>
      <c r="G47" s="533"/>
      <c r="H47" s="533"/>
    </row>
    <row r="48" spans="1:9">
      <c r="A48" s="45" t="s">
        <v>40</v>
      </c>
      <c r="B48" s="533" t="s">
        <v>126</v>
      </c>
      <c r="C48" s="533"/>
      <c r="D48" s="533"/>
      <c r="E48" s="533"/>
      <c r="F48" s="533"/>
      <c r="G48" s="533"/>
      <c r="H48" s="533"/>
    </row>
  </sheetData>
  <mergeCells count="4">
    <mergeCell ref="B47:H47"/>
    <mergeCell ref="B48:H48"/>
    <mergeCell ref="A1:H1"/>
    <mergeCell ref="B46:H46"/>
  </mergeCells>
  <printOptions horizontalCentered="1"/>
  <pageMargins left="0.7" right="0.7" top="0.75" bottom="0.75" header="0.3" footer="0.3"/>
  <pageSetup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T52"/>
  <sheetViews>
    <sheetView zoomScaleNormal="100" zoomScaleSheetLayoutView="85" workbookViewId="0">
      <selection sqref="A1:I1"/>
    </sheetView>
  </sheetViews>
  <sheetFormatPr defaultColWidth="9.140625" defaultRowHeight="12.75"/>
  <cols>
    <col min="1" max="1" width="9.28515625" style="270" bestFit="1" customWidth="1"/>
    <col min="2" max="2" width="7.28515625" style="270" customWidth="1"/>
    <col min="3" max="3" width="13.7109375" style="270" customWidth="1"/>
    <col min="4" max="4" width="7.28515625" style="270" customWidth="1"/>
    <col min="5" max="5" width="13.7109375" style="270" customWidth="1"/>
    <col min="6" max="6" width="7.28515625" style="270" customWidth="1"/>
    <col min="7" max="7" width="13.7109375" style="270" customWidth="1"/>
    <col min="8" max="8" width="7.28515625" style="270" customWidth="1"/>
    <col min="9" max="9" width="9.85546875" style="270" customWidth="1"/>
    <col min="10" max="10" width="3.7109375" style="270" customWidth="1"/>
    <col min="11" max="11" width="13.28515625" style="270" customWidth="1"/>
    <col min="12" max="12" width="10.7109375" style="270" customWidth="1"/>
    <col min="13" max="16384" width="9.140625" style="270"/>
  </cols>
  <sheetData>
    <row r="1" spans="1:20">
      <c r="A1" s="547" t="s">
        <v>127</v>
      </c>
      <c r="B1" s="547"/>
      <c r="C1" s="547"/>
      <c r="D1" s="547"/>
      <c r="E1" s="547"/>
      <c r="F1" s="547"/>
      <c r="G1" s="547"/>
      <c r="H1" s="547"/>
      <c r="I1" s="547"/>
      <c r="J1" s="277"/>
    </row>
    <row r="2" spans="1:20">
      <c r="A2" s="274"/>
      <c r="B2" s="274"/>
      <c r="C2" s="39"/>
      <c r="D2" s="39"/>
      <c r="E2" s="39"/>
      <c r="F2" s="61"/>
      <c r="G2" s="61"/>
      <c r="H2" s="61"/>
      <c r="I2" s="61"/>
      <c r="J2" s="277"/>
    </row>
    <row r="3" spans="1:20">
      <c r="A3" s="274"/>
      <c r="B3" s="274"/>
      <c r="C3" s="39" t="s">
        <v>47</v>
      </c>
      <c r="D3" s="39"/>
      <c r="E3" s="39" t="s">
        <v>48</v>
      </c>
      <c r="F3" s="274"/>
      <c r="G3" s="39" t="s">
        <v>49</v>
      </c>
      <c r="H3" s="61"/>
      <c r="I3" s="61" t="s">
        <v>50</v>
      </c>
      <c r="J3" s="277"/>
    </row>
    <row r="4" spans="1:20">
      <c r="A4" s="274"/>
      <c r="C4" s="79" t="s">
        <v>72</v>
      </c>
      <c r="D4" s="274"/>
      <c r="E4" s="79" t="s">
        <v>72</v>
      </c>
      <c r="F4" s="274"/>
      <c r="G4" s="274" t="s">
        <v>128</v>
      </c>
      <c r="H4" s="274"/>
      <c r="I4" s="44" t="s">
        <v>73</v>
      </c>
      <c r="J4" s="277"/>
    </row>
    <row r="5" spans="1:20">
      <c r="A5" s="274"/>
      <c r="C5" s="79" t="s">
        <v>97</v>
      </c>
      <c r="D5" s="274"/>
      <c r="E5" s="79" t="s">
        <v>129</v>
      </c>
      <c r="F5" s="274"/>
      <c r="G5" s="274" t="s">
        <v>130</v>
      </c>
      <c r="H5" s="274"/>
      <c r="I5" s="274" t="s">
        <v>5</v>
      </c>
      <c r="J5" s="277"/>
    </row>
    <row r="6" spans="1:20">
      <c r="A6" s="274" t="s">
        <v>60</v>
      </c>
      <c r="C6" s="79" t="s">
        <v>101</v>
      </c>
      <c r="D6" s="274"/>
      <c r="E6" s="79" t="s">
        <v>101</v>
      </c>
      <c r="F6" s="274"/>
      <c r="G6" s="274" t="s">
        <v>79</v>
      </c>
      <c r="H6" s="274"/>
      <c r="I6" s="274" t="s">
        <v>131</v>
      </c>
      <c r="J6" s="277"/>
    </row>
    <row r="7" spans="1:20">
      <c r="A7" s="38" t="s">
        <v>8</v>
      </c>
      <c r="C7" s="80" t="s">
        <v>132</v>
      </c>
      <c r="D7" s="274"/>
      <c r="E7" s="80" t="s">
        <v>133</v>
      </c>
      <c r="F7" s="274"/>
      <c r="G7" s="38" t="s">
        <v>134</v>
      </c>
      <c r="H7" s="274"/>
      <c r="I7" s="38" t="s">
        <v>135</v>
      </c>
      <c r="J7" s="277"/>
    </row>
    <row r="8" spans="1:20">
      <c r="A8" s="274"/>
      <c r="J8" s="277"/>
    </row>
    <row r="9" spans="1:20" hidden="1">
      <c r="A9" s="274">
        <v>1985</v>
      </c>
      <c r="C9" s="356">
        <v>4.4999999999999998E-2</v>
      </c>
      <c r="D9" s="356"/>
      <c r="E9" s="356">
        <v>0</v>
      </c>
      <c r="F9" s="357"/>
      <c r="G9" s="356">
        <v>4.4999999999999929E-2</v>
      </c>
      <c r="I9" s="44">
        <v>0.85697455513003273</v>
      </c>
      <c r="J9" s="48"/>
      <c r="M9" s="70"/>
      <c r="N9" s="295"/>
      <c r="O9" s="295"/>
      <c r="P9" s="295"/>
      <c r="Q9" s="295"/>
      <c r="R9" s="295"/>
      <c r="S9" s="295"/>
      <c r="T9" s="295"/>
    </row>
    <row r="10" spans="1:20">
      <c r="A10" s="274">
        <v>1986</v>
      </c>
      <c r="C10" s="356">
        <f>SUMIFS('Exhibit 4.2'!L:L,'Exhibit 4.2'!A:A,$A10)</f>
        <v>0.03</v>
      </c>
      <c r="D10" s="356"/>
      <c r="E10" s="356">
        <f>SUMIFS('Exhibit 4.3'!G:G,'Exhibit 4.3'!A:A,$A10)</f>
        <v>0</v>
      </c>
      <c r="F10" s="357"/>
      <c r="G10" s="358">
        <f t="shared" ref="G10:G44" si="0">(C10+1)*(1+E10)-1</f>
        <v>3.0000000000000027E-2</v>
      </c>
      <c r="I10" s="44">
        <f t="shared" ref="I10:I40" si="1">I11*(1+G11)</f>
        <v>0.83201413119420653</v>
      </c>
      <c r="J10" s="48"/>
      <c r="M10" s="70"/>
      <c r="N10" s="295"/>
      <c r="O10" s="295"/>
      <c r="P10" s="295"/>
      <c r="Q10" s="295"/>
      <c r="R10" s="295"/>
      <c r="S10" s="295"/>
      <c r="T10" s="295"/>
    </row>
    <row r="11" spans="1:20">
      <c r="A11" s="274">
        <v>1987</v>
      </c>
      <c r="C11" s="356">
        <f>SUMIFS('Exhibit 4.2'!L:L,'Exhibit 4.2'!A:A,$A11)</f>
        <v>3.7999999999999999E-2</v>
      </c>
      <c r="D11" s="356"/>
      <c r="E11" s="356">
        <f>SUMIFS('Exhibit 4.3'!G:G,'Exhibit 4.3'!A:A,$A11)</f>
        <v>0</v>
      </c>
      <c r="F11" s="357"/>
      <c r="G11" s="358">
        <f t="shared" si="0"/>
        <v>3.8000000000000034E-2</v>
      </c>
      <c r="I11" s="44">
        <f t="shared" si="1"/>
        <v>0.8015550396861334</v>
      </c>
      <c r="J11" s="48"/>
      <c r="M11" s="70"/>
      <c r="N11" s="295"/>
      <c r="O11" s="295"/>
      <c r="P11" s="295"/>
      <c r="Q11" s="295"/>
      <c r="R11" s="295"/>
      <c r="S11" s="295"/>
      <c r="T11" s="295"/>
    </row>
    <row r="12" spans="1:20">
      <c r="A12" s="274">
        <v>1988</v>
      </c>
      <c r="C12" s="356">
        <f>SUMIFS('Exhibit 4.2'!L:L,'Exhibit 4.2'!A:A,$A12)</f>
        <v>3.7999999999999999E-2</v>
      </c>
      <c r="D12" s="356"/>
      <c r="E12" s="356">
        <f>SUMIFS('Exhibit 4.3'!G:G,'Exhibit 4.3'!A:A,$A12)</f>
        <v>0</v>
      </c>
      <c r="F12" s="357"/>
      <c r="G12" s="358">
        <f t="shared" si="0"/>
        <v>3.8000000000000034E-2</v>
      </c>
      <c r="I12" s="44">
        <f t="shared" si="1"/>
        <v>0.77221102089222871</v>
      </c>
      <c r="J12" s="48"/>
      <c r="M12" s="70"/>
      <c r="N12" s="295"/>
      <c r="O12" s="295"/>
      <c r="P12" s="295"/>
      <c r="Q12" s="295"/>
      <c r="R12" s="295"/>
      <c r="S12" s="295"/>
      <c r="T12" s="295"/>
    </row>
    <row r="13" spans="1:20">
      <c r="A13" s="274">
        <v>1989</v>
      </c>
      <c r="C13" s="356">
        <f>SUMIFS('Exhibit 4.2'!L:L,'Exhibit 4.2'!A:A,$A13)</f>
        <v>0.03</v>
      </c>
      <c r="D13" s="356"/>
      <c r="E13" s="356">
        <f>SUMIFS('Exhibit 4.3'!G:G,'Exhibit 4.3'!A:A,$A13)</f>
        <v>0</v>
      </c>
      <c r="F13" s="357"/>
      <c r="G13" s="358">
        <f t="shared" si="0"/>
        <v>3.0000000000000027E-2</v>
      </c>
      <c r="I13" s="44">
        <f t="shared" si="1"/>
        <v>0.74971943775944527</v>
      </c>
      <c r="J13" s="48"/>
      <c r="M13" s="70"/>
      <c r="N13" s="295"/>
      <c r="O13" s="295"/>
      <c r="P13" s="295"/>
      <c r="Q13" s="295"/>
      <c r="R13" s="295"/>
      <c r="S13" s="295"/>
      <c r="T13" s="295"/>
    </row>
    <row r="14" spans="1:20">
      <c r="A14" s="274">
        <v>1990</v>
      </c>
      <c r="C14" s="356">
        <f>SUMIFS('Exhibit 4.2'!L:L,'Exhibit 4.2'!A:A,$A14)</f>
        <v>3.6999999999999998E-2</v>
      </c>
      <c r="D14" s="356"/>
      <c r="E14" s="356">
        <f>SUMIFS('Exhibit 4.3'!G:G,'Exhibit 4.3'!A:A,$A14)</f>
        <v>0.19060699999999997</v>
      </c>
      <c r="F14" s="357"/>
      <c r="G14" s="358">
        <f t="shared" si="0"/>
        <v>0.23465945899999996</v>
      </c>
      <c r="I14" s="44">
        <f t="shared" si="1"/>
        <v>0.60722771149112886</v>
      </c>
      <c r="J14" s="48"/>
      <c r="M14" s="70"/>
      <c r="N14" s="295"/>
      <c r="O14" s="295"/>
      <c r="P14" s="295"/>
      <c r="Q14" s="295"/>
      <c r="R14" s="295"/>
      <c r="S14" s="295"/>
      <c r="T14" s="295"/>
    </row>
    <row r="15" spans="1:20">
      <c r="A15" s="274">
        <v>1991</v>
      </c>
      <c r="C15" s="356">
        <f>SUMIFS('Exhibit 4.2'!L:L,'Exhibit 4.2'!A:A,$A15)</f>
        <v>3.5999999999999997E-2</v>
      </c>
      <c r="D15" s="356"/>
      <c r="E15" s="356">
        <f>SUMIFS('Exhibit 4.3'!G:G,'Exhibit 4.3'!A:A,$A15)</f>
        <v>0.1286480000000001</v>
      </c>
      <c r="F15" s="357"/>
      <c r="G15" s="358">
        <f t="shared" si="0"/>
        <v>0.16927932800000023</v>
      </c>
      <c r="I15" s="44">
        <f t="shared" si="1"/>
        <v>0.51931792254444842</v>
      </c>
      <c r="J15" s="48"/>
      <c r="M15" s="70"/>
      <c r="N15" s="295"/>
      <c r="O15" s="295"/>
      <c r="P15" s="295"/>
      <c r="Q15" s="295"/>
      <c r="R15" s="295"/>
      <c r="S15" s="295"/>
      <c r="T15" s="295"/>
    </row>
    <row r="16" spans="1:20">
      <c r="A16" s="274">
        <v>1992</v>
      </c>
      <c r="C16" s="356">
        <f>SUMIFS('Exhibit 4.2'!L:L,'Exhibit 4.2'!A:A,$A16)</f>
        <v>0.03</v>
      </c>
      <c r="D16" s="356"/>
      <c r="E16" s="356">
        <f>SUMIFS('Exhibit 4.3'!G:G,'Exhibit 4.3'!A:A,$A16)</f>
        <v>-7.9420000000000046E-2</v>
      </c>
      <c r="F16" s="357"/>
      <c r="G16" s="358">
        <f t="shared" si="0"/>
        <v>-5.1802600000000032E-2</v>
      </c>
      <c r="I16" s="44">
        <f t="shared" si="1"/>
        <v>0.54768967152245773</v>
      </c>
      <c r="J16" s="48"/>
      <c r="M16" s="70"/>
      <c r="N16" s="295"/>
      <c r="O16" s="295"/>
      <c r="P16" s="295"/>
      <c r="Q16" s="295"/>
      <c r="R16" s="295"/>
      <c r="S16" s="295"/>
      <c r="T16" s="295"/>
    </row>
    <row r="17" spans="1:20">
      <c r="A17" s="274">
        <v>1993</v>
      </c>
      <c r="C17" s="356">
        <f>SUMIFS('Exhibit 4.2'!L:L,'Exhibit 4.2'!A:A,$A17)</f>
        <v>2.7E-2</v>
      </c>
      <c r="D17" s="356"/>
      <c r="E17" s="356">
        <f>SUMIFS('Exhibit 4.3'!G:G,'Exhibit 4.3'!A:A,$A17)</f>
        <v>-0.18673300000000004</v>
      </c>
      <c r="F17" s="357"/>
      <c r="G17" s="358">
        <f t="shared" si="0"/>
        <v>-0.16477479100000014</v>
      </c>
      <c r="I17" s="44">
        <f t="shared" si="1"/>
        <v>0.65573891403277529</v>
      </c>
      <c r="J17" s="48"/>
      <c r="M17" s="70"/>
      <c r="N17" s="295"/>
      <c r="O17" s="295"/>
      <c r="P17" s="295"/>
      <c r="Q17" s="295"/>
      <c r="R17" s="295"/>
      <c r="S17" s="295"/>
      <c r="T17" s="295"/>
    </row>
    <row r="18" spans="1:20">
      <c r="A18" s="274">
        <v>1994</v>
      </c>
      <c r="C18" s="356">
        <f>SUMIFS('Exhibit 4.2'!L:L,'Exhibit 4.2'!A:A,$A18)</f>
        <v>-2.3E-2</v>
      </c>
      <c r="D18" s="356"/>
      <c r="E18" s="356">
        <f>SUMIFS('Exhibit 4.3'!G:G,'Exhibit 4.3'!A:A,$A18)</f>
        <v>-2.3078000000000154E-2</v>
      </c>
      <c r="F18" s="357"/>
      <c r="G18" s="358">
        <f t="shared" si="0"/>
        <v>-4.5547206000000173E-2</v>
      </c>
      <c r="I18" s="44">
        <f t="shared" si="1"/>
        <v>0.68703126875940124</v>
      </c>
      <c r="J18" s="48"/>
      <c r="M18" s="70"/>
      <c r="N18" s="295"/>
      <c r="O18" s="295"/>
      <c r="P18" s="295"/>
      <c r="Q18" s="295"/>
      <c r="R18" s="295"/>
      <c r="S18" s="295"/>
      <c r="T18" s="295"/>
    </row>
    <row r="19" spans="1:20">
      <c r="A19" s="274">
        <v>1995</v>
      </c>
      <c r="C19" s="356">
        <f>SUMIFS('Exhibit 4.2'!L:L,'Exhibit 4.2'!A:A,$A19)</f>
        <v>8.9999999999999993E-3</v>
      </c>
      <c r="D19" s="356"/>
      <c r="E19" s="356">
        <f>SUMIFS('Exhibit 4.3'!G:G,'Exhibit 4.3'!A:A,$A19)</f>
        <v>4.9999999999998934E-3</v>
      </c>
      <c r="F19" s="357"/>
      <c r="G19" s="358">
        <f t="shared" si="0"/>
        <v>1.4044999999999863E-2</v>
      </c>
      <c r="I19" s="44">
        <f t="shared" si="1"/>
        <v>0.67751556268153912</v>
      </c>
      <c r="J19" s="48"/>
      <c r="M19" s="70"/>
      <c r="N19" s="295"/>
      <c r="O19" s="295"/>
      <c r="P19" s="295"/>
      <c r="Q19" s="295"/>
      <c r="R19" s="295"/>
      <c r="S19" s="295"/>
      <c r="T19" s="295"/>
    </row>
    <row r="20" spans="1:20">
      <c r="A20" s="274">
        <v>1996</v>
      </c>
      <c r="C20" s="356">
        <f>SUMIFS('Exhibit 4.2'!L:L,'Exhibit 4.2'!A:A,$A20)</f>
        <v>0.01</v>
      </c>
      <c r="D20" s="356"/>
      <c r="E20" s="356">
        <f>SUMIFS('Exhibit 4.3'!G:G,'Exhibit 4.3'!A:A,$A20)</f>
        <v>4.0000000000000036E-3</v>
      </c>
      <c r="F20" s="357"/>
      <c r="G20" s="358">
        <f t="shared" si="0"/>
        <v>1.4040000000000052E-2</v>
      </c>
      <c r="I20" s="44">
        <f t="shared" si="1"/>
        <v>0.66813494801145823</v>
      </c>
      <c r="J20" s="48"/>
      <c r="M20" s="70"/>
      <c r="N20" s="295"/>
      <c r="O20" s="295"/>
      <c r="P20" s="295"/>
      <c r="Q20" s="295"/>
      <c r="R20" s="295"/>
      <c r="S20" s="295"/>
      <c r="T20" s="295"/>
    </row>
    <row r="21" spans="1:20">
      <c r="A21" s="274">
        <v>1997</v>
      </c>
      <c r="C21" s="356">
        <f>SUMIFS('Exhibit 4.2'!L:L,'Exhibit 4.2'!A:A,$A21)</f>
        <v>7.0000000000000001E-3</v>
      </c>
      <c r="D21" s="356"/>
      <c r="E21" s="356">
        <f>SUMIFS('Exhibit 4.3'!G:G,'Exhibit 4.3'!A:A,$A21)</f>
        <v>2.0000000000000018E-3</v>
      </c>
      <c r="F21" s="357"/>
      <c r="G21" s="358">
        <f t="shared" si="0"/>
        <v>9.0139999999998555E-3</v>
      </c>
      <c r="I21" s="44">
        <f t="shared" si="1"/>
        <v>0.66216618204649125</v>
      </c>
      <c r="J21" s="48"/>
      <c r="M21" s="70"/>
      <c r="N21" s="295"/>
      <c r="O21" s="295"/>
      <c r="P21" s="295"/>
      <c r="Q21" s="295"/>
      <c r="R21" s="295"/>
      <c r="S21" s="295"/>
      <c r="T21" s="295"/>
    </row>
    <row r="22" spans="1:20">
      <c r="A22" s="274">
        <v>1998</v>
      </c>
      <c r="C22" s="356">
        <f>SUMIFS('Exhibit 4.2'!L:L,'Exhibit 4.2'!A:A,$A22)</f>
        <v>8.0000000000000002E-3</v>
      </c>
      <c r="D22" s="356"/>
      <c r="E22" s="356">
        <f>SUMIFS('Exhibit 4.3'!G:G,'Exhibit 4.3'!A:A,$A22)</f>
        <v>0.12599999999999989</v>
      </c>
      <c r="F22" s="357"/>
      <c r="G22" s="358">
        <f t="shared" si="0"/>
        <v>0.13500799999999979</v>
      </c>
      <c r="I22" s="44">
        <f t="shared" si="1"/>
        <v>0.58340221570816364</v>
      </c>
      <c r="J22" s="48"/>
      <c r="M22" s="70"/>
      <c r="N22" s="295"/>
      <c r="O22" s="295"/>
      <c r="P22" s="295"/>
      <c r="Q22" s="295"/>
      <c r="R22" s="295"/>
      <c r="S22" s="295"/>
      <c r="T22" s="295"/>
    </row>
    <row r="23" spans="1:20">
      <c r="A23" s="274">
        <v>1999</v>
      </c>
      <c r="C23" s="356">
        <f>SUMIFS('Exhibit 4.2'!L:L,'Exhibit 4.2'!A:A,$A23)</f>
        <v>2.5000000000000001E-2</v>
      </c>
      <c r="D23" s="356"/>
      <c r="E23" s="356">
        <f>SUMIFS('Exhibit 4.3'!G:G,'Exhibit 4.3'!A:A,$A23)</f>
        <v>0.12599999999999989</v>
      </c>
      <c r="F23" s="357"/>
      <c r="G23" s="358">
        <f t="shared" si="0"/>
        <v>0.15414999999999979</v>
      </c>
      <c r="I23" s="44">
        <f t="shared" si="1"/>
        <v>0.50548214331600205</v>
      </c>
      <c r="J23" s="48"/>
      <c r="M23" s="70"/>
      <c r="N23" s="295"/>
      <c r="O23" s="295"/>
      <c r="P23" s="295"/>
      <c r="Q23" s="295"/>
      <c r="R23" s="295"/>
      <c r="S23" s="295"/>
      <c r="T23" s="295"/>
    </row>
    <row r="24" spans="1:20">
      <c r="A24" s="274">
        <v>2000</v>
      </c>
      <c r="C24" s="356">
        <f>SUMIFS('Exhibit 4.2'!L:L,'Exhibit 4.2'!A:A,$A24)</f>
        <v>1.7000000000000001E-2</v>
      </c>
      <c r="D24" s="356"/>
      <c r="E24" s="356">
        <f>SUMIFS('Exhibit 4.3'!G:G,'Exhibit 4.3'!A:A,$A24)</f>
        <v>7.0000000000000062E-2</v>
      </c>
      <c r="F24" s="357"/>
      <c r="G24" s="358">
        <f t="shared" si="0"/>
        <v>8.8189999999999991E-2</v>
      </c>
      <c r="I24" s="44">
        <f t="shared" si="1"/>
        <v>0.46451643859620295</v>
      </c>
      <c r="J24" s="48"/>
      <c r="M24" s="70"/>
      <c r="N24" s="295"/>
      <c r="O24" s="295"/>
      <c r="P24" s="295"/>
      <c r="Q24" s="295"/>
      <c r="R24" s="295"/>
      <c r="S24" s="295"/>
      <c r="T24" s="295"/>
    </row>
    <row r="25" spans="1:20">
      <c r="A25" s="274">
        <v>2001</v>
      </c>
      <c r="C25" s="356">
        <f>SUMIFS('Exhibit 4.2'!L:L,'Exhibit 4.2'!A:A,$A25)</f>
        <v>2.8999999999999998E-2</v>
      </c>
      <c r="D25" s="356"/>
      <c r="E25" s="356">
        <f>SUMIFS('Exhibit 4.3'!G:G,'Exhibit 4.3'!A:A,$A25)</f>
        <v>6.6000000000000059E-2</v>
      </c>
      <c r="F25" s="357"/>
      <c r="G25" s="358">
        <f t="shared" si="0"/>
        <v>9.6913999999999945E-2</v>
      </c>
      <c r="I25" s="44">
        <f t="shared" si="1"/>
        <v>0.42347571331590533</v>
      </c>
      <c r="J25" s="48"/>
      <c r="M25" s="70"/>
      <c r="N25" s="295"/>
      <c r="O25" s="295"/>
      <c r="P25" s="295"/>
      <c r="Q25" s="295"/>
      <c r="R25" s="295"/>
      <c r="S25" s="295"/>
      <c r="T25" s="295"/>
    </row>
    <row r="26" spans="1:20">
      <c r="A26" s="274">
        <v>2002</v>
      </c>
      <c r="C26" s="356">
        <f>SUMIFS('Exhibit 4.2'!L:L,'Exhibit 4.2'!A:A,$A26)</f>
        <v>0.02</v>
      </c>
      <c r="D26" s="356"/>
      <c r="E26" s="356">
        <f>SUMIFS('Exhibit 4.3'!G:G,'Exhibit 4.3'!A:A,$A26)</f>
        <v>-5.600000000000005E-2</v>
      </c>
      <c r="F26" s="357"/>
      <c r="G26" s="358">
        <f t="shared" si="0"/>
        <v>-3.7120000000000042E-2</v>
      </c>
      <c r="I26" s="44">
        <f t="shared" si="1"/>
        <v>0.43980113131013765</v>
      </c>
      <c r="J26" s="48"/>
      <c r="M26" s="70"/>
      <c r="N26" s="295"/>
      <c r="O26" s="295"/>
      <c r="P26" s="295"/>
      <c r="Q26" s="295"/>
      <c r="R26" s="295"/>
      <c r="S26" s="295"/>
      <c r="T26" s="295"/>
    </row>
    <row r="27" spans="1:20">
      <c r="A27" s="274">
        <v>2003</v>
      </c>
      <c r="C27" s="356">
        <f>SUMIFS('Exhibit 4.2'!L:L,'Exhibit 4.2'!A:A,$A27)</f>
        <v>1.4E-2</v>
      </c>
      <c r="D27" s="356"/>
      <c r="E27" s="356">
        <f>SUMIFS('Exhibit 4.3'!G:G,'Exhibit 4.3'!A:A,$A27)</f>
        <v>-6.0000000000000053E-2</v>
      </c>
      <c r="F27" s="357"/>
      <c r="G27" s="358">
        <f t="shared" si="0"/>
        <v>-4.6839999999999993E-2</v>
      </c>
      <c r="I27" s="44">
        <f t="shared" si="1"/>
        <v>0.46141375142697727</v>
      </c>
      <c r="J27" s="48"/>
      <c r="M27" s="70"/>
      <c r="N27" s="295"/>
      <c r="O27" s="295"/>
      <c r="P27" s="295"/>
      <c r="Q27" s="295"/>
      <c r="R27" s="295"/>
      <c r="S27" s="295"/>
      <c r="T27" s="295"/>
    </row>
    <row r="28" spans="1:20">
      <c r="A28" s="274">
        <v>2004</v>
      </c>
      <c r="C28" s="356">
        <f>SUMIFS('Exhibit 4.2'!L:L,'Exhibit 4.2'!A:A,$A28)</f>
        <v>0</v>
      </c>
      <c r="D28" s="356"/>
      <c r="E28" s="356">
        <f>SUMIFS('Exhibit 4.3'!G:G,'Exhibit 4.3'!A:A,$A28)</f>
        <v>-0.33850000000000002</v>
      </c>
      <c r="F28" s="357"/>
      <c r="G28" s="358">
        <f t="shared" si="0"/>
        <v>-0.33850000000000002</v>
      </c>
      <c r="I28" s="44">
        <f t="shared" si="1"/>
        <v>0.69752645718363915</v>
      </c>
      <c r="J28" s="48"/>
      <c r="M28" s="70"/>
      <c r="N28" s="295"/>
      <c r="O28" s="295"/>
      <c r="P28" s="295"/>
      <c r="Q28" s="295"/>
      <c r="R28" s="295"/>
      <c r="S28" s="295"/>
      <c r="T28" s="295"/>
    </row>
    <row r="29" spans="1:20">
      <c r="A29" s="274">
        <v>2005</v>
      </c>
      <c r="C29" s="356">
        <f>SUMIFS('Exhibit 4.2'!L:L,'Exhibit 4.2'!A:A,$A29)</f>
        <v>0</v>
      </c>
      <c r="D29" s="356"/>
      <c r="E29" s="356">
        <f>SUMIFS('Exhibit 4.3'!G:G,'Exhibit 4.3'!A:A,$A29)</f>
        <v>-0.13900000000000001</v>
      </c>
      <c r="F29" s="357"/>
      <c r="G29" s="358">
        <f t="shared" si="0"/>
        <v>-0.13900000000000001</v>
      </c>
      <c r="I29" s="44">
        <f t="shared" si="1"/>
        <v>0.81013525805300712</v>
      </c>
      <c r="J29" s="48"/>
      <c r="M29" s="70"/>
      <c r="N29" s="295"/>
      <c r="O29" s="295"/>
      <c r="P29" s="295"/>
      <c r="Q29" s="295"/>
      <c r="R29" s="295"/>
      <c r="S29" s="295"/>
      <c r="T29" s="295"/>
    </row>
    <row r="30" spans="1:20">
      <c r="A30" s="274">
        <v>2006</v>
      </c>
      <c r="C30" s="356">
        <f>SUMIFS('Exhibit 4.2'!L:L,'Exhibit 4.2'!A:A,$A30)</f>
        <v>3.0000000000000001E-3</v>
      </c>
      <c r="D30" s="356"/>
      <c r="E30" s="356">
        <f>SUMIFS('Exhibit 4.3'!G:G,'Exhibit 4.3'!A:A,$A30)</f>
        <v>-5.1052000000000097E-2</v>
      </c>
      <c r="F30" s="357"/>
      <c r="G30" s="358">
        <f t="shared" si="0"/>
        <v>-4.8205156000000193E-2</v>
      </c>
      <c r="I30" s="44">
        <f t="shared" si="1"/>
        <v>0.85116584015978058</v>
      </c>
      <c r="J30" s="48"/>
      <c r="M30" s="70"/>
      <c r="N30" s="295"/>
      <c r="O30" s="295"/>
      <c r="P30" s="295"/>
      <c r="Q30" s="295"/>
      <c r="R30" s="295"/>
      <c r="S30" s="295"/>
      <c r="T30" s="295"/>
    </row>
    <row r="31" spans="1:20">
      <c r="A31" s="274">
        <v>2007</v>
      </c>
      <c r="C31" s="356">
        <f>SUMIFS('Exhibit 4.2'!L:L,'Exhibit 4.2'!A:A,$A31)</f>
        <v>1.8000000000000002E-2</v>
      </c>
      <c r="D31" s="356"/>
      <c r="E31" s="356">
        <f>SUMIFS('Exhibit 4.3'!G:G,'Exhibit 4.3'!A:A,$A31)</f>
        <v>9.9999999999988987E-4</v>
      </c>
      <c r="F31" s="357"/>
      <c r="G31" s="358">
        <f t="shared" si="0"/>
        <v>1.9017999999999979E-2</v>
      </c>
      <c r="I31" s="44">
        <f t="shared" si="1"/>
        <v>0.83528047606595823</v>
      </c>
      <c r="J31" s="48"/>
      <c r="M31" s="70"/>
      <c r="N31" s="295"/>
      <c r="O31" s="295"/>
      <c r="P31" s="295"/>
      <c r="Q31" s="295"/>
      <c r="R31" s="295"/>
      <c r="S31" s="295"/>
      <c r="T31" s="295"/>
    </row>
    <row r="32" spans="1:20">
      <c r="A32" s="274">
        <v>2008</v>
      </c>
      <c r="C32" s="356">
        <f>SUMIFS('Exhibit 4.2'!L:L,'Exhibit 4.2'!A:A,$A32)</f>
        <v>2E-3</v>
      </c>
      <c r="D32" s="356"/>
      <c r="E32" s="356">
        <f>SUMIFS('Exhibit 4.3'!G:G,'Exhibit 4.3'!A:A,$A32)</f>
        <v>5.0059999999998439E-3</v>
      </c>
      <c r="F32" s="357"/>
      <c r="G32" s="358">
        <f t="shared" si="0"/>
        <v>7.0160119999997939E-3</v>
      </c>
      <c r="I32" s="44">
        <f t="shared" si="1"/>
        <v>0.82946096796121094</v>
      </c>
      <c r="J32" s="48"/>
      <c r="M32" s="70"/>
      <c r="N32" s="295"/>
      <c r="O32" s="295"/>
      <c r="P32" s="295"/>
      <c r="Q32" s="295"/>
      <c r="R32" s="295"/>
      <c r="S32" s="295"/>
      <c r="T32" s="295"/>
    </row>
    <row r="33" spans="1:20">
      <c r="A33" s="274">
        <v>2009</v>
      </c>
      <c r="C33" s="356">
        <f>SUMIFS('Exhibit 4.2'!L:L,'Exhibit 4.2'!A:A,$A33)</f>
        <v>4.0000000000000001E-3</v>
      </c>
      <c r="D33" s="356"/>
      <c r="E33" s="356">
        <f>SUMIFS('Exhibit 4.3'!G:G,'Exhibit 4.3'!A:A,$A33)</f>
        <v>1.0000000000000009E-2</v>
      </c>
      <c r="F33" s="357"/>
      <c r="G33" s="358">
        <f t="shared" si="0"/>
        <v>1.4040000000000052E-2</v>
      </c>
      <c r="I33" s="44">
        <f t="shared" si="1"/>
        <v>0.81797657682262126</v>
      </c>
      <c r="J33" s="277"/>
      <c r="M33" s="70"/>
      <c r="N33" s="295"/>
      <c r="O33" s="295"/>
      <c r="P33" s="295"/>
      <c r="Q33" s="295"/>
      <c r="R33" s="295"/>
      <c r="S33" s="295"/>
      <c r="T33" s="295"/>
    </row>
    <row r="34" spans="1:20">
      <c r="A34" s="274">
        <v>2010</v>
      </c>
      <c r="C34" s="356">
        <f>SUMIFS('Exhibit 4.2'!L:L,'Exhibit 4.2'!A:A,$A34)</f>
        <v>3.0000000000000001E-3</v>
      </c>
      <c r="D34" s="356"/>
      <c r="E34" s="356">
        <f>SUMIFS('Exhibit 4.3'!G:G,'Exhibit 4.3'!A:A,$A34)</f>
        <v>0</v>
      </c>
      <c r="F34" s="357"/>
      <c r="G34" s="358">
        <f t="shared" si="0"/>
        <v>2.9999999999998916E-3</v>
      </c>
      <c r="I34" s="44">
        <f t="shared" si="1"/>
        <v>0.81552998686203526</v>
      </c>
      <c r="J34" s="277"/>
      <c r="M34" s="70"/>
      <c r="N34" s="295"/>
      <c r="O34" s="295"/>
      <c r="P34" s="295"/>
      <c r="Q34" s="295"/>
      <c r="R34" s="295"/>
      <c r="S34" s="295"/>
      <c r="T34" s="295"/>
    </row>
    <row r="35" spans="1:20">
      <c r="A35" s="274">
        <v>2011</v>
      </c>
      <c r="C35" s="356">
        <f>SUMIFS('Exhibit 4.2'!L:L,'Exhibit 4.2'!A:A,$A35)</f>
        <v>3.0000000000000001E-3</v>
      </c>
      <c r="D35" s="356"/>
      <c r="E35" s="356">
        <f>SUMIFS('Exhibit 4.3'!G:G,'Exhibit 4.3'!A:A,$A35)</f>
        <v>-2.0000000000000018E-2</v>
      </c>
      <c r="F35" s="357"/>
      <c r="G35" s="358">
        <f t="shared" si="0"/>
        <v>-1.7060000000000075E-2</v>
      </c>
      <c r="I35" s="44">
        <f t="shared" si="1"/>
        <v>0.82968440277334865</v>
      </c>
      <c r="J35" s="277"/>
      <c r="M35" s="70"/>
      <c r="N35" s="295"/>
      <c r="O35" s="295"/>
      <c r="P35" s="295"/>
      <c r="Q35" s="295"/>
      <c r="R35" s="295"/>
      <c r="S35" s="295"/>
      <c r="T35" s="295"/>
    </row>
    <row r="36" spans="1:20">
      <c r="A36" s="274">
        <v>2012</v>
      </c>
      <c r="C36" s="356">
        <f>SUMIFS('Exhibit 4.2'!L:L,'Exhibit 4.2'!A:A,$A36)</f>
        <v>1E-3</v>
      </c>
      <c r="D36" s="356"/>
      <c r="E36" s="356">
        <f>SUMIFS('Exhibit 4.3'!G:G,'Exhibit 4.3'!A:A,$A36)</f>
        <v>-4.4000000000000039E-2</v>
      </c>
      <c r="F36" s="357"/>
      <c r="G36" s="358">
        <f t="shared" si="0"/>
        <v>-4.3044000000000193E-2</v>
      </c>
      <c r="I36" s="44">
        <f t="shared" si="1"/>
        <v>0.86700371048757607</v>
      </c>
      <c r="J36" s="277"/>
      <c r="M36" s="70"/>
      <c r="N36" s="295"/>
      <c r="O36" s="295"/>
      <c r="P36" s="295"/>
      <c r="Q36" s="295"/>
      <c r="R36" s="295"/>
      <c r="S36" s="295"/>
      <c r="T36" s="295"/>
    </row>
    <row r="37" spans="1:20">
      <c r="A37" s="274">
        <v>2013</v>
      </c>
      <c r="C37" s="356">
        <f>SUMIFS('Exhibit 4.2'!L:L,'Exhibit 4.2'!A:A,$A37)</f>
        <v>1E-3</v>
      </c>
      <c r="D37" s="356"/>
      <c r="E37" s="356">
        <f>SUMIFS('Exhibit 4.3'!G:G,'Exhibit 4.3'!A:A,$A37)</f>
        <v>-8.0164000000000013E-2</v>
      </c>
      <c r="F37" s="357"/>
      <c r="G37" s="358">
        <f t="shared" si="0"/>
        <v>-7.9244164000000117E-2</v>
      </c>
      <c r="I37" s="44">
        <f t="shared" si="1"/>
        <v>0.94162173791269477</v>
      </c>
      <c r="J37" s="81"/>
      <c r="L37" s="269"/>
      <c r="M37" s="70"/>
      <c r="N37" s="295"/>
      <c r="O37" s="295"/>
      <c r="P37" s="295"/>
      <c r="Q37" s="295"/>
      <c r="R37" s="295"/>
      <c r="S37" s="295"/>
      <c r="T37" s="295"/>
    </row>
    <row r="38" spans="1:20">
      <c r="A38" s="274">
        <v>2014</v>
      </c>
      <c r="B38" s="277"/>
      <c r="C38" s="356">
        <f>SUMIFS('Exhibit 4.2'!L:L,'Exhibit 4.2'!A:A,$A38)</f>
        <v>3.0000000000000001E-3</v>
      </c>
      <c r="D38" s="358"/>
      <c r="E38" s="356">
        <f>SUMIFS('Exhibit 4.3'!G:G,'Exhibit 4.3'!A:A,$A38)</f>
        <v>-4.6767000000000003E-2</v>
      </c>
      <c r="F38" s="359"/>
      <c r="G38" s="358">
        <f t="shared" si="0"/>
        <v>-4.3907301000000065E-2</v>
      </c>
      <c r="H38" s="277"/>
      <c r="I38" s="44">
        <f t="shared" si="1"/>
        <v>0.98486447903802565</v>
      </c>
      <c r="J38" s="82"/>
      <c r="L38" s="296"/>
      <c r="M38" s="70"/>
      <c r="N38" s="295"/>
      <c r="O38" s="295"/>
      <c r="P38" s="295"/>
      <c r="Q38" s="295"/>
      <c r="R38" s="295"/>
      <c r="S38" s="295"/>
      <c r="T38" s="295"/>
    </row>
    <row r="39" spans="1:20">
      <c r="A39" s="274">
        <v>2015</v>
      </c>
      <c r="B39" s="277"/>
      <c r="C39" s="356">
        <f>SUMIFS('Exhibit 4.2'!L:L,'Exhibit 4.2'!A:A,$A39)</f>
        <v>2E-3</v>
      </c>
      <c r="D39" s="358"/>
      <c r="E39" s="356">
        <f>SUMIFS('Exhibit 4.3'!G:G,'Exhibit 4.3'!A:A,$A39)</f>
        <v>-2.0000000000000018E-2</v>
      </c>
      <c r="F39" s="359"/>
      <c r="G39" s="358">
        <f t="shared" si="0"/>
        <v>-1.8040000000000056E-2</v>
      </c>
      <c r="H39" s="277"/>
      <c r="I39" s="44">
        <f t="shared" si="1"/>
        <v>1.0029578384435474</v>
      </c>
      <c r="J39" s="83"/>
      <c r="L39" s="296"/>
      <c r="M39" s="70"/>
      <c r="N39" s="295"/>
      <c r="O39" s="295"/>
      <c r="P39" s="295"/>
      <c r="Q39" s="295"/>
      <c r="R39" s="295"/>
      <c r="S39" s="295"/>
      <c r="T39" s="295"/>
    </row>
    <row r="40" spans="1:20">
      <c r="A40" s="274">
        <v>2016</v>
      </c>
      <c r="B40" s="277"/>
      <c r="C40" s="356">
        <f>SUMIFS('Exhibit 4.2'!L:L,'Exhibit 4.2'!A:A,$A40)</f>
        <v>4.0000000000000001E-3</v>
      </c>
      <c r="D40" s="358"/>
      <c r="E40" s="356">
        <f>SUMIFS('Exhibit 4.3'!G:G,'Exhibit 4.3'!A:A,$A40)</f>
        <v>-5.0000000000000044E-3</v>
      </c>
      <c r="F40" s="359"/>
      <c r="G40" s="358">
        <f t="shared" si="0"/>
        <v>-1.0200000000000209E-3</v>
      </c>
      <c r="H40" s="277"/>
      <c r="I40" s="44">
        <f t="shared" si="1"/>
        <v>1.0039818999815286</v>
      </c>
      <c r="J40" s="83"/>
      <c r="L40" s="296"/>
      <c r="N40" s="295"/>
      <c r="O40" s="295"/>
      <c r="P40" s="295"/>
      <c r="Q40" s="295"/>
      <c r="R40" s="295"/>
      <c r="S40" s="295"/>
      <c r="T40" s="295"/>
    </row>
    <row r="41" spans="1:20">
      <c r="A41" s="274">
        <v>2017</v>
      </c>
      <c r="B41" s="277"/>
      <c r="C41" s="356">
        <f>SUMIFS('Exhibit 4.2'!L:L,'Exhibit 4.2'!A:A,$A41)</f>
        <v>2E-3</v>
      </c>
      <c r="D41" s="358"/>
      <c r="E41" s="356">
        <f>SUMIFS('Exhibit 4.3'!G:G,'Exhibit 4.3'!A:A,$A41)</f>
        <v>-4.0000000000000036E-3</v>
      </c>
      <c r="F41" s="359"/>
      <c r="G41" s="358">
        <f t="shared" si="0"/>
        <v>-2.0080000000000098E-3</v>
      </c>
      <c r="H41" s="277"/>
      <c r="I41" s="44">
        <f>I42*(1+G42)</f>
        <v>1.0060019519009458</v>
      </c>
      <c r="J41" s="83"/>
      <c r="N41" s="295"/>
      <c r="O41" s="295"/>
      <c r="P41" s="295"/>
      <c r="Q41" s="295"/>
      <c r="R41" s="295"/>
      <c r="S41" s="295"/>
      <c r="T41" s="295"/>
    </row>
    <row r="42" spans="1:20">
      <c r="A42" s="274">
        <v>2018</v>
      </c>
      <c r="B42" s="277"/>
      <c r="C42" s="356">
        <f>SUMIFS('Exhibit 4.2'!L:L,'Exhibit 4.2'!A:A,$A42)</f>
        <v>2E-3</v>
      </c>
      <c r="D42" s="358"/>
      <c r="E42" s="356">
        <f>SUMIFS('Exhibit 4.3'!G:G,'Exhibit 4.3'!A:A,$A42)</f>
        <v>-3.0000000000000027E-3</v>
      </c>
      <c r="F42" s="359"/>
      <c r="G42" s="358">
        <f t="shared" si="0"/>
        <v>-1.0059999999999514E-3</v>
      </c>
      <c r="H42" s="277"/>
      <c r="I42" s="44">
        <f>(1+G45)*(1+G44)*(1+G43)</f>
        <v>1.0070150089999996</v>
      </c>
      <c r="J42" s="277"/>
      <c r="N42" s="295"/>
      <c r="O42" s="295"/>
      <c r="P42" s="295"/>
      <c r="Q42" s="295"/>
      <c r="R42" s="295"/>
      <c r="S42" s="295"/>
      <c r="T42" s="295"/>
    </row>
    <row r="43" spans="1:20" s="361" customFormat="1">
      <c r="A43" s="363">
        <v>2019</v>
      </c>
      <c r="B43" s="364"/>
      <c r="C43" s="356">
        <f>SUMIFS('Exhibit 4.2'!L:L,'Exhibit 4.2'!A:A,$A43)</f>
        <v>3.0000000000000001E-3</v>
      </c>
      <c r="D43" s="358"/>
      <c r="E43" s="356">
        <f>SUMIFS('Exhibit 4.3'!G:G,'Exhibit 4.3'!A:A,$A43)</f>
        <v>0</v>
      </c>
      <c r="F43" s="359"/>
      <c r="G43" s="358">
        <f t="shared" si="0"/>
        <v>2.9999999999998916E-3</v>
      </c>
      <c r="H43" s="364"/>
      <c r="I43" s="364"/>
      <c r="J43" s="364"/>
      <c r="N43" s="295"/>
      <c r="O43" s="295"/>
      <c r="P43" s="295"/>
      <c r="Q43" s="295"/>
      <c r="R43" s="295"/>
      <c r="S43" s="295"/>
      <c r="T43" s="295"/>
    </row>
    <row r="44" spans="1:20" s="379" customFormat="1">
      <c r="A44" s="380">
        <v>2020</v>
      </c>
      <c r="B44" s="381"/>
      <c r="C44" s="356">
        <f>SUMIFS('Exhibit 4.2'!L:L,'Exhibit 4.2'!A:A,$A44)</f>
        <v>3.0000000000000001E-3</v>
      </c>
      <c r="D44" s="358"/>
      <c r="E44" s="356">
        <f>SUMIFS('Exhibit 4.3'!G:G,'Exhibit 4.3'!A:A,$A44)</f>
        <v>0</v>
      </c>
      <c r="F44" s="359"/>
      <c r="G44" s="358">
        <f t="shared" si="0"/>
        <v>2.9999999999998916E-3</v>
      </c>
      <c r="H44" s="381"/>
      <c r="I44" s="381"/>
      <c r="J44" s="381"/>
      <c r="N44" s="295"/>
      <c r="O44" s="295"/>
      <c r="P44" s="295"/>
      <c r="Q44" s="295"/>
      <c r="R44" s="295"/>
      <c r="S44" s="295"/>
      <c r="T44" s="295"/>
    </row>
    <row r="45" spans="1:20">
      <c r="A45" s="380" t="s">
        <v>434</v>
      </c>
      <c r="B45" s="277"/>
      <c r="C45" s="356">
        <f>SUMIFS('Exhibit 4.2'!L:L,'Exhibit 4.2'!A:A,$A45)</f>
        <v>1E-3</v>
      </c>
      <c r="D45" s="359"/>
      <c r="E45" s="356">
        <f>SUMIFS('Exhibit 4.3'!G:G,'Exhibit 4.3'!A:A,$A45)</f>
        <v>0</v>
      </c>
      <c r="F45" s="359"/>
      <c r="G45" s="358">
        <f t="shared" ref="G45" si="2">(C45+1)*(1+E45)-1</f>
        <v>9.9999999999988987E-4</v>
      </c>
      <c r="H45" s="277"/>
      <c r="I45" s="277"/>
      <c r="J45" s="277"/>
    </row>
    <row r="46" spans="1:20">
      <c r="A46" s="274"/>
      <c r="B46" s="277"/>
      <c r="C46" s="277"/>
      <c r="D46" s="277"/>
      <c r="E46" s="277"/>
      <c r="F46" s="277"/>
      <c r="G46" s="277"/>
      <c r="H46" s="277"/>
      <c r="I46" s="277"/>
      <c r="J46" s="277"/>
    </row>
    <row r="47" spans="1:20">
      <c r="A47" s="39" t="s">
        <v>22</v>
      </c>
      <c r="B47" s="575" t="s">
        <v>136</v>
      </c>
      <c r="C47" s="575"/>
      <c r="D47" s="575"/>
      <c r="E47" s="575"/>
      <c r="F47" s="575"/>
      <c r="G47" s="575"/>
      <c r="H47" s="575"/>
      <c r="I47" s="575"/>
      <c r="J47" s="277"/>
    </row>
    <row r="48" spans="1:20">
      <c r="A48" s="39" t="s">
        <v>28</v>
      </c>
      <c r="B48" s="575" t="s">
        <v>137</v>
      </c>
      <c r="C48" s="575"/>
      <c r="D48" s="575"/>
      <c r="E48" s="575"/>
      <c r="F48" s="575"/>
      <c r="G48" s="575"/>
      <c r="H48" s="575"/>
      <c r="I48" s="575"/>
      <c r="J48" s="277"/>
    </row>
    <row r="49" spans="1:12">
      <c r="A49" s="39" t="s">
        <v>40</v>
      </c>
      <c r="B49" s="575" t="s">
        <v>138</v>
      </c>
      <c r="C49" s="575"/>
      <c r="D49" s="575"/>
      <c r="E49" s="575"/>
      <c r="F49" s="575"/>
      <c r="G49" s="575"/>
      <c r="H49" s="575"/>
      <c r="I49" s="575"/>
      <c r="J49" s="277"/>
    </row>
    <row r="50" spans="1:12">
      <c r="A50" s="84" t="s">
        <v>139</v>
      </c>
      <c r="B50" s="576" t="s">
        <v>495</v>
      </c>
      <c r="C50" s="576"/>
      <c r="D50" s="576"/>
      <c r="E50" s="576"/>
      <c r="F50" s="576"/>
      <c r="G50" s="576"/>
      <c r="H50" s="576"/>
      <c r="I50" s="576"/>
      <c r="J50" s="277"/>
    </row>
    <row r="51" spans="1:12">
      <c r="A51" s="84"/>
      <c r="J51" s="277"/>
    </row>
    <row r="52" spans="1:12">
      <c r="J52" s="277"/>
      <c r="L52" s="297"/>
    </row>
  </sheetData>
  <mergeCells count="5">
    <mergeCell ref="A1:I1"/>
    <mergeCell ref="B47:I47"/>
    <mergeCell ref="B48:I48"/>
    <mergeCell ref="B49:I49"/>
    <mergeCell ref="B50:I50"/>
  </mergeCells>
  <printOptions horizontalCentered="1"/>
  <pageMargins left="0.7" right="0.7" top="0.75" bottom="0.75" header="0.3" footer="0.3"/>
  <pageSetup scale="93"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G45"/>
  <sheetViews>
    <sheetView zoomScaleNormal="100" zoomScaleSheetLayoutView="100" workbookViewId="0">
      <selection sqref="A1:E1"/>
    </sheetView>
  </sheetViews>
  <sheetFormatPr defaultColWidth="9.140625" defaultRowHeight="12.75"/>
  <cols>
    <col min="1" max="1" width="18.5703125" style="136" customWidth="1"/>
    <col min="2" max="2" width="17.5703125" style="136" customWidth="1"/>
    <col min="3" max="3" width="18.5703125" style="136" customWidth="1"/>
    <col min="4" max="4" width="17.5703125" style="136" customWidth="1"/>
    <col min="5" max="5" width="18.5703125" style="136" customWidth="1"/>
    <col min="6" max="16384" width="9.140625" style="136"/>
  </cols>
  <sheetData>
    <row r="1" spans="1:7">
      <c r="A1" s="577" t="s">
        <v>140</v>
      </c>
      <c r="B1" s="577"/>
      <c r="C1" s="577"/>
      <c r="D1" s="577"/>
      <c r="E1" s="577"/>
    </row>
    <row r="2" spans="1:7">
      <c r="A2" s="85"/>
      <c r="B2" s="85"/>
      <c r="C2" s="86"/>
      <c r="D2" s="85"/>
      <c r="E2" s="86"/>
    </row>
    <row r="3" spans="1:7">
      <c r="A3" s="158"/>
      <c r="B3" s="10"/>
      <c r="C3" s="64" t="s">
        <v>141</v>
      </c>
      <c r="D3" s="10"/>
      <c r="E3" s="44" t="s">
        <v>91</v>
      </c>
    </row>
    <row r="4" spans="1:7">
      <c r="A4" s="38" t="s">
        <v>8</v>
      </c>
      <c r="B4" s="87"/>
      <c r="C4" s="88" t="s">
        <v>380</v>
      </c>
      <c r="D4" s="87"/>
      <c r="E4" s="62" t="s">
        <v>496</v>
      </c>
    </row>
    <row r="5" spans="1:7">
      <c r="A5" s="363">
        <v>1986</v>
      </c>
      <c r="B5" s="360"/>
      <c r="C5" s="453">
        <v>4.7</v>
      </c>
      <c r="D5" s="454"/>
      <c r="E5" s="44">
        <f t="shared" ref="E5:E35" si="0">E6*(1+C6/100)</f>
        <v>3.3407442248394932</v>
      </c>
    </row>
    <row r="6" spans="1:7">
      <c r="A6" s="274">
        <v>1987</v>
      </c>
      <c r="B6" s="89"/>
      <c r="C6" s="453">
        <v>5.6</v>
      </c>
      <c r="D6" s="412"/>
      <c r="E6" s="44">
        <f t="shared" si="0"/>
        <v>3.1635835462495199</v>
      </c>
      <c r="G6" s="145"/>
    </row>
    <row r="7" spans="1:7">
      <c r="A7" s="274">
        <v>1988</v>
      </c>
      <c r="B7" s="89"/>
      <c r="C7" s="453">
        <v>4.4000000000000004</v>
      </c>
      <c r="D7" s="412"/>
      <c r="E7" s="44">
        <f t="shared" si="0"/>
        <v>3.0302524389363215</v>
      </c>
      <c r="G7" s="145"/>
    </row>
    <row r="8" spans="1:7">
      <c r="A8" s="274">
        <v>1989</v>
      </c>
      <c r="B8" s="89"/>
      <c r="C8" s="453">
        <v>4.3</v>
      </c>
      <c r="D8" s="412"/>
      <c r="E8" s="44">
        <f t="shared" si="0"/>
        <v>2.9053235272639708</v>
      </c>
      <c r="G8" s="145"/>
    </row>
    <row r="9" spans="1:7">
      <c r="A9" s="274">
        <v>1990</v>
      </c>
      <c r="B9" s="89"/>
      <c r="C9" s="453">
        <v>5</v>
      </c>
      <c r="D9" s="412"/>
      <c r="E9" s="44">
        <f t="shared" si="0"/>
        <v>2.7669747878704483</v>
      </c>
      <c r="G9" s="145"/>
    </row>
    <row r="10" spans="1:7">
      <c r="A10" s="274">
        <v>1991</v>
      </c>
      <c r="B10" s="89"/>
      <c r="C10" s="453">
        <v>2.2999999999999998</v>
      </c>
      <c r="D10" s="412"/>
      <c r="E10" s="44">
        <f t="shared" si="0"/>
        <v>2.7047651885341626</v>
      </c>
      <c r="G10" s="145"/>
    </row>
    <row r="11" spans="1:7">
      <c r="A11" s="274">
        <v>1992</v>
      </c>
      <c r="B11" s="89"/>
      <c r="C11" s="453">
        <v>4.7</v>
      </c>
      <c r="D11" s="412"/>
      <c r="E11" s="44">
        <f t="shared" si="0"/>
        <v>2.5833478400517316</v>
      </c>
      <c r="G11" s="145"/>
    </row>
    <row r="12" spans="1:7">
      <c r="A12" s="274">
        <v>1993</v>
      </c>
      <c r="B12" s="89"/>
      <c r="C12" s="453">
        <v>1.2</v>
      </c>
      <c r="D12" s="412"/>
      <c r="E12" s="44">
        <f t="shared" si="0"/>
        <v>2.552715256968114</v>
      </c>
      <c r="G12" s="145"/>
    </row>
    <row r="13" spans="1:7">
      <c r="A13" s="274">
        <v>1994</v>
      </c>
      <c r="B13" s="89"/>
      <c r="C13" s="453">
        <v>1.8</v>
      </c>
      <c r="D13" s="412"/>
      <c r="E13" s="44">
        <f t="shared" si="0"/>
        <v>2.5075788378861632</v>
      </c>
      <c r="G13" s="145"/>
    </row>
    <row r="14" spans="1:7">
      <c r="A14" s="274">
        <v>1995</v>
      </c>
      <c r="B14" s="89"/>
      <c r="C14" s="453">
        <v>2.9</v>
      </c>
      <c r="D14" s="412"/>
      <c r="E14" s="44">
        <f t="shared" si="0"/>
        <v>2.4369084916289245</v>
      </c>
      <c r="G14" s="145"/>
    </row>
    <row r="15" spans="1:7">
      <c r="A15" s="274">
        <v>1996</v>
      </c>
      <c r="B15" s="89"/>
      <c r="C15" s="453">
        <v>3.4</v>
      </c>
      <c r="D15" s="412"/>
      <c r="E15" s="44">
        <f t="shared" si="0"/>
        <v>2.3567780383258459</v>
      </c>
      <c r="G15" s="145"/>
    </row>
    <row r="16" spans="1:7">
      <c r="A16" s="274">
        <v>1997</v>
      </c>
      <c r="B16" s="89"/>
      <c r="C16" s="453">
        <v>4.7</v>
      </c>
      <c r="D16" s="412"/>
      <c r="E16" s="44">
        <f t="shared" si="0"/>
        <v>2.2509818895184774</v>
      </c>
      <c r="G16" s="145"/>
    </row>
    <row r="17" spans="1:7">
      <c r="A17" s="274">
        <v>1998</v>
      </c>
      <c r="B17" s="89"/>
      <c r="C17" s="453">
        <v>5.2</v>
      </c>
      <c r="D17" s="412"/>
      <c r="E17" s="44">
        <f t="shared" si="0"/>
        <v>2.1397166250175639</v>
      </c>
      <c r="G17" s="145"/>
    </row>
    <row r="18" spans="1:7">
      <c r="A18" s="274">
        <v>1999</v>
      </c>
      <c r="B18" s="89"/>
      <c r="C18" s="453">
        <v>6.2</v>
      </c>
      <c r="D18" s="412"/>
      <c r="E18" s="44">
        <f t="shared" si="0"/>
        <v>2.0147990819374422</v>
      </c>
      <c r="G18" s="145"/>
    </row>
    <row r="19" spans="1:7">
      <c r="A19" s="274">
        <v>2000</v>
      </c>
      <c r="B19" s="89"/>
      <c r="C19" s="453">
        <v>9</v>
      </c>
      <c r="D19" s="412"/>
      <c r="E19" s="44">
        <f t="shared" si="0"/>
        <v>1.8484395247132495</v>
      </c>
      <c r="G19" s="145"/>
    </row>
    <row r="20" spans="1:7">
      <c r="A20" s="274">
        <v>2001</v>
      </c>
      <c r="B20" s="89"/>
      <c r="C20" s="453">
        <v>0.6</v>
      </c>
      <c r="D20" s="412"/>
      <c r="E20" s="44">
        <f t="shared" si="0"/>
        <v>1.8374150345062121</v>
      </c>
      <c r="G20" s="145"/>
    </row>
    <row r="21" spans="1:7">
      <c r="A21" s="274">
        <v>2002</v>
      </c>
      <c r="B21" s="89"/>
      <c r="C21" s="453">
        <v>1.1000000000000001</v>
      </c>
      <c r="D21" s="412"/>
      <c r="E21" s="44">
        <f t="shared" si="0"/>
        <v>1.8174233773553039</v>
      </c>
      <c r="G21" s="145"/>
    </row>
    <row r="22" spans="1:7">
      <c r="A22" s="274">
        <v>2003</v>
      </c>
      <c r="B22" s="89"/>
      <c r="C22" s="453">
        <v>3.6</v>
      </c>
      <c r="D22" s="412"/>
      <c r="E22" s="44">
        <f t="shared" si="0"/>
        <v>1.7542696692618762</v>
      </c>
      <c r="G22" s="145"/>
    </row>
    <row r="23" spans="1:7">
      <c r="A23" s="274">
        <v>2004</v>
      </c>
      <c r="B23" s="89"/>
      <c r="C23" s="453">
        <v>5</v>
      </c>
      <c r="D23" s="412"/>
      <c r="E23" s="44">
        <f t="shared" si="0"/>
        <v>1.670733018344644</v>
      </c>
      <c r="G23" s="145"/>
    </row>
    <row r="24" spans="1:7">
      <c r="A24" s="274">
        <v>2005</v>
      </c>
      <c r="B24" s="89"/>
      <c r="C24" s="453">
        <v>3.2</v>
      </c>
      <c r="D24" s="412"/>
      <c r="E24" s="44">
        <f t="shared" si="0"/>
        <v>1.6189273433572131</v>
      </c>
      <c r="G24" s="145"/>
    </row>
    <row r="25" spans="1:7">
      <c r="A25" s="274">
        <v>2006</v>
      </c>
      <c r="B25" s="89"/>
      <c r="C25" s="453">
        <v>4.5999999999999996</v>
      </c>
      <c r="D25" s="412"/>
      <c r="E25" s="44">
        <f t="shared" si="0"/>
        <v>1.547731685809955</v>
      </c>
      <c r="G25" s="145"/>
    </row>
    <row r="26" spans="1:7">
      <c r="A26" s="274">
        <v>2007</v>
      </c>
      <c r="B26" s="89"/>
      <c r="C26" s="453">
        <v>4.5</v>
      </c>
      <c r="D26" s="412"/>
      <c r="E26" s="44">
        <f t="shared" si="0"/>
        <v>1.4810829529281868</v>
      </c>
      <c r="G26" s="145"/>
    </row>
    <row r="27" spans="1:7">
      <c r="A27" s="274">
        <v>2008</v>
      </c>
      <c r="B27" s="89"/>
      <c r="C27" s="453">
        <v>2.1</v>
      </c>
      <c r="D27" s="412"/>
      <c r="E27" s="44">
        <f t="shared" si="0"/>
        <v>1.4506199343077246</v>
      </c>
      <c r="G27" s="145"/>
    </row>
    <row r="28" spans="1:7">
      <c r="A28" s="274">
        <v>2009</v>
      </c>
      <c r="B28" s="89"/>
      <c r="C28" s="453">
        <v>0.5</v>
      </c>
      <c r="D28" s="412"/>
      <c r="E28" s="44">
        <f t="shared" si="0"/>
        <v>1.4434029197091789</v>
      </c>
      <c r="G28" s="145"/>
    </row>
    <row r="29" spans="1:7">
      <c r="A29" s="274">
        <v>2010</v>
      </c>
      <c r="B29" s="89"/>
      <c r="C29" s="453">
        <v>3</v>
      </c>
      <c r="D29" s="412"/>
      <c r="E29" s="44">
        <f t="shared" si="0"/>
        <v>1.4013620579700765</v>
      </c>
      <c r="G29" s="145"/>
    </row>
    <row r="30" spans="1:7">
      <c r="A30" s="274">
        <v>2011</v>
      </c>
      <c r="B30" s="89"/>
      <c r="C30" s="453">
        <v>2.9</v>
      </c>
      <c r="D30" s="412"/>
      <c r="E30" s="44">
        <f t="shared" si="0"/>
        <v>1.3618678891837479</v>
      </c>
      <c r="G30" s="145"/>
    </row>
    <row r="31" spans="1:7">
      <c r="A31" s="274">
        <v>2012</v>
      </c>
      <c r="B31" s="89"/>
      <c r="C31" s="453">
        <v>4.0999999999999996</v>
      </c>
      <c r="D31" s="412"/>
      <c r="E31" s="44">
        <f t="shared" si="0"/>
        <v>1.3082304410987013</v>
      </c>
      <c r="G31" s="145"/>
    </row>
    <row r="32" spans="1:7">
      <c r="A32" s="274">
        <v>2013</v>
      </c>
      <c r="B32" s="89"/>
      <c r="C32" s="453">
        <v>0.8</v>
      </c>
      <c r="D32" s="412"/>
      <c r="E32" s="44">
        <f t="shared" si="0"/>
        <v>1.2978476598201403</v>
      </c>
      <c r="G32" s="145"/>
    </row>
    <row r="33" spans="1:7">
      <c r="A33" s="274">
        <v>2014</v>
      </c>
      <c r="B33" s="89"/>
      <c r="C33" s="453">
        <v>3.2</v>
      </c>
      <c r="D33" s="412"/>
      <c r="E33" s="44">
        <f t="shared" si="0"/>
        <v>1.2576043215311437</v>
      </c>
      <c r="G33" s="145"/>
    </row>
    <row r="34" spans="1:7">
      <c r="A34" s="274">
        <v>2015</v>
      </c>
      <c r="B34" s="89"/>
      <c r="C34" s="453">
        <v>4.5</v>
      </c>
      <c r="D34" s="412"/>
      <c r="E34" s="44">
        <f t="shared" si="0"/>
        <v>1.2034491115130561</v>
      </c>
      <c r="G34" s="145"/>
    </row>
    <row r="35" spans="1:7">
      <c r="A35" s="274">
        <v>2016</v>
      </c>
      <c r="B35" s="89"/>
      <c r="C35" s="453">
        <v>1.9</v>
      </c>
      <c r="D35" s="412"/>
      <c r="E35" s="44">
        <f t="shared" si="0"/>
        <v>1.1810099229765028</v>
      </c>
      <c r="G35" s="145"/>
    </row>
    <row r="36" spans="1:7">
      <c r="A36" s="274">
        <v>2017</v>
      </c>
      <c r="B36" s="89"/>
      <c r="C36" s="453">
        <v>4.2</v>
      </c>
      <c r="D36" s="409"/>
      <c r="E36" s="44">
        <f>E37*(1+C37/100)</f>
        <v>1.1334068358699643</v>
      </c>
      <c r="G36" s="145"/>
    </row>
    <row r="37" spans="1:7">
      <c r="A37" s="274">
        <v>2018</v>
      </c>
      <c r="B37" s="89"/>
      <c r="C37" s="453">
        <v>3.5</v>
      </c>
      <c r="D37" s="409"/>
      <c r="E37" s="44">
        <f>(1+C42/100)*(1+C41/100)*(1+C43/100)</f>
        <v>1.0950790684733955</v>
      </c>
      <c r="G37" s="145"/>
    </row>
    <row r="38" spans="1:7" hidden="1">
      <c r="A38" s="274">
        <v>2019</v>
      </c>
      <c r="B38" s="10"/>
      <c r="C38" s="453">
        <v>3.9</v>
      </c>
      <c r="D38" s="412"/>
      <c r="E38" s="44">
        <v>1.0539740793776666</v>
      </c>
    </row>
    <row r="39" spans="1:7">
      <c r="B39" s="89"/>
      <c r="C39" s="453" t="s">
        <v>36</v>
      </c>
      <c r="D39" s="409"/>
      <c r="E39" s="44"/>
    </row>
    <row r="40" spans="1:7">
      <c r="A40" s="363" t="s">
        <v>497</v>
      </c>
      <c r="C40" s="409"/>
      <c r="D40" s="409"/>
    </row>
    <row r="41" spans="1:7">
      <c r="A41" s="380">
        <v>2019</v>
      </c>
      <c r="B41" s="379"/>
      <c r="C41" s="453">
        <v>3.9</v>
      </c>
      <c r="D41" s="409"/>
      <c r="E41" s="44"/>
    </row>
    <row r="42" spans="1:7">
      <c r="A42" s="274">
        <v>2020</v>
      </c>
      <c r="B42" s="10"/>
      <c r="C42" s="453">
        <v>3.6</v>
      </c>
      <c r="D42" s="409"/>
      <c r="E42" s="44"/>
    </row>
    <row r="43" spans="1:7">
      <c r="A43" s="243" t="s">
        <v>434</v>
      </c>
      <c r="B43" s="317"/>
      <c r="C43" s="455">
        <v>1.734949746879022</v>
      </c>
      <c r="D43" s="412" t="s">
        <v>498</v>
      </c>
      <c r="E43" s="317"/>
    </row>
    <row r="44" spans="1:7">
      <c r="A44" s="158"/>
      <c r="B44" s="10"/>
      <c r="C44" s="90"/>
      <c r="D44" s="10"/>
      <c r="E44" s="70"/>
    </row>
    <row r="45" spans="1:7" ht="69" customHeight="1">
      <c r="A45" s="45" t="s">
        <v>22</v>
      </c>
      <c r="B45" s="533" t="s">
        <v>419</v>
      </c>
      <c r="C45" s="533"/>
      <c r="D45" s="533"/>
      <c r="E45" s="533"/>
      <c r="G45" s="297"/>
    </row>
  </sheetData>
  <mergeCells count="2">
    <mergeCell ref="A1:E1"/>
    <mergeCell ref="B45:E45"/>
  </mergeCells>
  <pageMargins left="0.7" right="0.7" top="0.75" bottom="0.75" header="0.3" footer="0.3"/>
  <pageSetup scale="99" orientation="portrait" horizontalDpi="1200" verticalDpi="120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V60"/>
  <sheetViews>
    <sheetView workbookViewId="0">
      <selection sqref="A1:S1"/>
    </sheetView>
  </sheetViews>
  <sheetFormatPr defaultColWidth="9.140625" defaultRowHeight="12.75"/>
  <cols>
    <col min="1" max="1" width="8.42578125" style="270" customWidth="1"/>
    <col min="2" max="2" width="4" style="270" customWidth="1"/>
    <col min="3" max="3" width="6" style="270" customWidth="1"/>
    <col min="4" max="6" width="7.140625" style="270" customWidth="1"/>
    <col min="7" max="7" width="8.140625" style="270" customWidth="1"/>
    <col min="8" max="8" width="7.140625" style="270" customWidth="1"/>
    <col min="9" max="9" width="11.7109375" style="270" customWidth="1"/>
    <col min="10" max="10" width="5.7109375" style="270" customWidth="1"/>
    <col min="11" max="11" width="6" style="270" customWidth="1"/>
    <col min="12" max="12" width="6.28515625" style="270" customWidth="1"/>
    <col min="13" max="13" width="9.7109375" style="270" customWidth="1"/>
    <col min="14" max="14" width="5.28515625" style="270" customWidth="1"/>
    <col min="15" max="15" width="8.140625" style="270" customWidth="1"/>
    <col min="16" max="16" width="7.140625" style="270" customWidth="1"/>
    <col min="17" max="17" width="6" style="270" customWidth="1"/>
    <col min="18" max="18" width="4.5703125" style="270" customWidth="1"/>
    <col min="19" max="19" width="11.28515625" style="270" bestFit="1" customWidth="1"/>
    <col min="20" max="16384" width="9.140625" style="270"/>
  </cols>
  <sheetData>
    <row r="1" spans="1:22" ht="16.149999999999999" customHeight="1">
      <c r="A1" s="547" t="s">
        <v>142</v>
      </c>
      <c r="B1" s="547"/>
      <c r="C1" s="547"/>
      <c r="D1" s="547"/>
      <c r="E1" s="547"/>
      <c r="F1" s="547"/>
      <c r="G1" s="547"/>
      <c r="H1" s="547"/>
      <c r="I1" s="547"/>
      <c r="J1" s="547"/>
      <c r="K1" s="547"/>
      <c r="L1" s="547"/>
      <c r="M1" s="547"/>
      <c r="N1" s="547"/>
      <c r="O1" s="547"/>
      <c r="P1" s="547"/>
      <c r="Q1" s="547"/>
      <c r="R1" s="547"/>
      <c r="S1" s="547"/>
      <c r="T1" s="272"/>
    </row>
    <row r="2" spans="1:22" ht="16.149999999999999" customHeight="1">
      <c r="A2" s="274"/>
      <c r="B2" s="274"/>
      <c r="C2" s="274"/>
      <c r="D2" s="274"/>
      <c r="E2" s="274"/>
      <c r="F2" s="274"/>
      <c r="G2" s="274"/>
      <c r="H2" s="274"/>
      <c r="I2" s="274"/>
      <c r="J2" s="274"/>
      <c r="K2" s="274"/>
      <c r="L2" s="274"/>
      <c r="M2" s="274"/>
      <c r="N2" s="274"/>
      <c r="O2" s="274"/>
      <c r="P2" s="274"/>
      <c r="Q2" s="274"/>
      <c r="R2" s="274"/>
      <c r="S2" s="274"/>
      <c r="T2" s="274"/>
    </row>
    <row r="3" spans="1:22" ht="16.149999999999999" customHeight="1">
      <c r="A3" s="274"/>
      <c r="B3" s="274"/>
      <c r="C3" s="39" t="s">
        <v>47</v>
      </c>
      <c r="D3" s="274"/>
      <c r="E3" s="56" t="s">
        <v>143</v>
      </c>
      <c r="F3" s="274"/>
      <c r="G3" s="56" t="s">
        <v>144</v>
      </c>
      <c r="H3" s="274"/>
      <c r="I3" s="56" t="s">
        <v>145</v>
      </c>
      <c r="J3" s="274"/>
      <c r="K3" s="39" t="s">
        <v>49</v>
      </c>
      <c r="L3" s="274"/>
      <c r="M3" s="39" t="s">
        <v>50</v>
      </c>
      <c r="N3" s="274"/>
      <c r="O3" s="39" t="s">
        <v>56</v>
      </c>
      <c r="P3" s="274"/>
      <c r="Q3" s="56" t="s">
        <v>57</v>
      </c>
      <c r="R3" s="274"/>
      <c r="S3" s="39" t="s">
        <v>146</v>
      </c>
      <c r="T3" s="274"/>
    </row>
    <row r="4" spans="1:22" ht="16.149999999999999" customHeight="1">
      <c r="A4" s="274"/>
      <c r="B4" s="274"/>
      <c r="C4" s="274"/>
      <c r="D4" s="274"/>
      <c r="F4" s="274"/>
      <c r="G4" s="274"/>
      <c r="H4" s="274"/>
      <c r="I4" s="55" t="s">
        <v>92</v>
      </c>
      <c r="J4" s="274"/>
      <c r="K4" s="274"/>
      <c r="L4" s="274"/>
      <c r="M4" s="274"/>
      <c r="N4" s="274"/>
      <c r="O4" s="274"/>
      <c r="P4" s="274"/>
      <c r="Q4" s="274"/>
      <c r="R4" s="274"/>
      <c r="S4" s="45"/>
      <c r="T4" s="274"/>
    </row>
    <row r="5" spans="1:22" ht="16.149999999999999" customHeight="1">
      <c r="A5" s="274"/>
      <c r="B5" s="274"/>
      <c r="C5" s="274"/>
      <c r="D5" s="274"/>
      <c r="E5" s="55" t="s">
        <v>147</v>
      </c>
      <c r="F5" s="274"/>
      <c r="G5" s="55" t="s">
        <v>148</v>
      </c>
      <c r="H5" s="274"/>
      <c r="I5" s="55" t="s">
        <v>149</v>
      </c>
      <c r="J5" s="274"/>
      <c r="K5" s="274"/>
      <c r="L5" s="274"/>
      <c r="M5" s="274"/>
      <c r="N5" s="274"/>
      <c r="O5" s="274" t="s">
        <v>150</v>
      </c>
      <c r="P5" s="274"/>
      <c r="Q5" s="274"/>
      <c r="R5" s="274"/>
      <c r="S5" s="274"/>
    </row>
    <row r="6" spans="1:22" ht="16.149999999999999" customHeight="1">
      <c r="A6" s="274"/>
      <c r="B6" s="274"/>
      <c r="C6" s="274"/>
      <c r="D6" s="274"/>
      <c r="E6" s="55" t="s">
        <v>151</v>
      </c>
      <c r="F6" s="274"/>
      <c r="G6" s="75" t="s">
        <v>152</v>
      </c>
      <c r="H6" s="274"/>
      <c r="I6" s="55" t="s">
        <v>153</v>
      </c>
      <c r="J6" s="274"/>
      <c r="K6" s="274"/>
      <c r="L6" s="274"/>
      <c r="M6" s="274"/>
      <c r="N6" s="274"/>
      <c r="O6" s="274" t="s">
        <v>154</v>
      </c>
      <c r="P6" s="39"/>
      <c r="Q6" s="55" t="s">
        <v>92</v>
      </c>
      <c r="R6" s="274"/>
      <c r="S6" s="274"/>
      <c r="T6" s="274"/>
    </row>
    <row r="7" spans="1:22" ht="16.149999999999999" customHeight="1">
      <c r="A7" s="274"/>
      <c r="B7" s="274"/>
      <c r="C7" s="274"/>
      <c r="D7" s="274"/>
      <c r="E7" s="274" t="s">
        <v>155</v>
      </c>
      <c r="F7" s="274"/>
      <c r="G7" s="55" t="s">
        <v>156</v>
      </c>
      <c r="H7" s="274"/>
      <c r="I7" s="55" t="s">
        <v>156</v>
      </c>
      <c r="J7" s="274"/>
      <c r="K7" s="274" t="s">
        <v>157</v>
      </c>
      <c r="L7" s="274"/>
      <c r="M7" s="274"/>
      <c r="N7" s="274"/>
      <c r="O7" s="274" t="s">
        <v>158</v>
      </c>
      <c r="P7" s="274"/>
      <c r="Q7" s="55" t="s">
        <v>159</v>
      </c>
      <c r="R7" s="274"/>
      <c r="S7" s="274" t="s">
        <v>73</v>
      </c>
      <c r="T7" s="274"/>
    </row>
    <row r="8" spans="1:22" ht="16.149999999999999" customHeight="1">
      <c r="A8" s="274"/>
      <c r="B8" s="274"/>
      <c r="C8" s="274" t="s">
        <v>91</v>
      </c>
      <c r="D8" s="274"/>
      <c r="E8" s="274" t="s">
        <v>160</v>
      </c>
      <c r="F8" s="274"/>
      <c r="G8" s="55" t="s">
        <v>161</v>
      </c>
      <c r="H8" s="274"/>
      <c r="I8" s="55" t="s">
        <v>162</v>
      </c>
      <c r="J8" s="274"/>
      <c r="K8" s="274" t="s">
        <v>163</v>
      </c>
      <c r="L8" s="274"/>
      <c r="M8" s="274" t="s">
        <v>164</v>
      </c>
      <c r="N8" s="274"/>
      <c r="O8" s="245" t="s">
        <v>418</v>
      </c>
      <c r="P8" s="274"/>
      <c r="Q8" s="55" t="s">
        <v>165</v>
      </c>
      <c r="R8" s="274"/>
      <c r="S8" s="274" t="s">
        <v>9</v>
      </c>
      <c r="T8" s="274"/>
    </row>
    <row r="9" spans="1:22" ht="16.149999999999999" customHeight="1">
      <c r="A9" s="274" t="s">
        <v>166</v>
      </c>
      <c r="B9" s="274"/>
      <c r="C9" s="243" t="s">
        <v>434</v>
      </c>
      <c r="D9" s="274"/>
      <c r="E9" s="55" t="s">
        <v>161</v>
      </c>
      <c r="F9" s="274"/>
      <c r="G9" s="274" t="s">
        <v>167</v>
      </c>
      <c r="H9" s="274"/>
      <c r="I9" s="55" t="s">
        <v>167</v>
      </c>
      <c r="J9" s="274"/>
      <c r="K9" s="274" t="s">
        <v>168</v>
      </c>
      <c r="L9" s="274"/>
      <c r="M9" s="274" t="s">
        <v>169</v>
      </c>
      <c r="N9" s="274"/>
      <c r="O9" s="274" t="s">
        <v>161</v>
      </c>
      <c r="P9" s="274"/>
      <c r="Q9" s="55" t="s">
        <v>170</v>
      </c>
      <c r="R9" s="274"/>
      <c r="S9" s="274" t="s">
        <v>157</v>
      </c>
      <c r="T9" s="274"/>
    </row>
    <row r="10" spans="1:22" ht="16.149999999999999" customHeight="1">
      <c r="A10" s="38" t="s">
        <v>8</v>
      </c>
      <c r="B10" s="38"/>
      <c r="C10" s="38" t="s">
        <v>171</v>
      </c>
      <c r="D10" s="38"/>
      <c r="E10" s="57" t="s">
        <v>172</v>
      </c>
      <c r="F10" s="38"/>
      <c r="G10" s="57" t="s">
        <v>499</v>
      </c>
      <c r="H10" s="38"/>
      <c r="I10" s="57" t="s">
        <v>500</v>
      </c>
      <c r="J10" s="38"/>
      <c r="K10" s="38" t="s">
        <v>173</v>
      </c>
      <c r="L10" s="38"/>
      <c r="M10" s="38" t="s">
        <v>174</v>
      </c>
      <c r="N10" s="38"/>
      <c r="O10" s="92" t="s">
        <v>175</v>
      </c>
      <c r="P10" s="38"/>
      <c r="Q10" s="57" t="s">
        <v>176</v>
      </c>
      <c r="R10" s="38"/>
      <c r="S10" s="38" t="s">
        <v>177</v>
      </c>
      <c r="T10" s="38"/>
    </row>
    <row r="11" spans="1:22" ht="16.149999999999999" hidden="1" customHeight="1">
      <c r="A11" s="274">
        <v>1985</v>
      </c>
      <c r="B11" s="44"/>
      <c r="C11" s="44">
        <v>0</v>
      </c>
      <c r="D11" s="44"/>
      <c r="E11" s="44" t="s">
        <v>34</v>
      </c>
      <c r="F11" s="44"/>
      <c r="G11" s="44" t="s">
        <v>34</v>
      </c>
      <c r="H11" s="44"/>
      <c r="I11" s="44">
        <v>0.79014734147066834</v>
      </c>
      <c r="J11" s="44"/>
      <c r="K11" s="44">
        <v>0.99099999999999999</v>
      </c>
      <c r="L11" s="44"/>
      <c r="M11" s="44">
        <v>0.98399999999999999</v>
      </c>
      <c r="N11" s="44"/>
      <c r="O11" s="44">
        <v>1.0169999999999999</v>
      </c>
      <c r="P11" s="44"/>
      <c r="Q11" s="44" t="s">
        <v>34</v>
      </c>
      <c r="R11" s="44"/>
      <c r="S11" s="44">
        <v>0</v>
      </c>
      <c r="T11" s="70"/>
      <c r="V11" s="70"/>
    </row>
    <row r="12" spans="1:22" ht="16.149999999999999" customHeight="1">
      <c r="A12" s="274">
        <v>1986</v>
      </c>
      <c r="B12" s="44"/>
      <c r="C12" s="44">
        <f>'Exhibit 5.1'!E5</f>
        <v>3.3407442248394932</v>
      </c>
      <c r="D12" s="44"/>
      <c r="E12" s="417" t="s">
        <v>34</v>
      </c>
      <c r="F12" s="417"/>
      <c r="G12" s="417" t="s">
        <v>34</v>
      </c>
      <c r="H12" s="44"/>
      <c r="I12" s="417">
        <v>0.72187861116760266</v>
      </c>
      <c r="J12" s="44"/>
      <c r="K12" s="417">
        <v>0.99099999999999999</v>
      </c>
      <c r="L12" s="417"/>
      <c r="M12" s="417">
        <v>0.98299999999999998</v>
      </c>
      <c r="N12" s="417"/>
      <c r="O12" s="417">
        <v>1.0169999999999999</v>
      </c>
      <c r="P12" s="44"/>
      <c r="Q12" s="417" t="s">
        <v>34</v>
      </c>
      <c r="R12" s="44"/>
      <c r="S12" s="44">
        <f t="shared" ref="S12:S42" si="0">(C12*I12*K12)/(M12*O12)</f>
        <v>2.3905981779551118</v>
      </c>
      <c r="T12" s="70"/>
      <c r="V12" s="70"/>
    </row>
    <row r="13" spans="1:22" ht="16.149999999999999" customHeight="1">
      <c r="A13" s="274">
        <v>1987</v>
      </c>
      <c r="B13" s="44"/>
      <c r="C13" s="44">
        <f>'Exhibit 5.1'!E6</f>
        <v>3.1635835462495199</v>
      </c>
      <c r="D13" s="44"/>
      <c r="E13" s="417" t="s">
        <v>34</v>
      </c>
      <c r="F13" s="417"/>
      <c r="G13" s="417" t="s">
        <v>34</v>
      </c>
      <c r="H13" s="44"/>
      <c r="I13" s="417">
        <v>0.63464634466924086</v>
      </c>
      <c r="J13" s="44"/>
      <c r="K13" s="417">
        <v>0.99199999999999999</v>
      </c>
      <c r="L13" s="417"/>
      <c r="M13" s="417">
        <v>0.98299999999999998</v>
      </c>
      <c r="N13" s="417"/>
      <c r="O13" s="417">
        <v>1.0169999999999999</v>
      </c>
      <c r="P13" s="44"/>
      <c r="Q13" s="417" t="s">
        <v>34</v>
      </c>
      <c r="R13" s="44"/>
      <c r="S13" s="44">
        <f t="shared" si="0"/>
        <v>1.9922704459724345</v>
      </c>
      <c r="T13" s="70"/>
      <c r="V13" s="70"/>
    </row>
    <row r="14" spans="1:22" ht="16.149999999999999" customHeight="1">
      <c r="A14" s="274">
        <v>1988</v>
      </c>
      <c r="B14" s="44"/>
      <c r="C14" s="44">
        <f>'Exhibit 5.1'!E7</f>
        <v>3.0302524389363215</v>
      </c>
      <c r="D14" s="44"/>
      <c r="E14" s="417" t="s">
        <v>34</v>
      </c>
      <c r="F14" s="417"/>
      <c r="G14" s="417" t="s">
        <v>34</v>
      </c>
      <c r="H14" s="44"/>
      <c r="I14" s="417">
        <v>0.5676418501125281</v>
      </c>
      <c r="J14" s="44"/>
      <c r="K14" s="417">
        <v>0.99299999999999999</v>
      </c>
      <c r="L14" s="417"/>
      <c r="M14" s="417">
        <v>0.96299999999999997</v>
      </c>
      <c r="N14" s="417"/>
      <c r="O14" s="417">
        <v>1.0169999999999999</v>
      </c>
      <c r="P14" s="44"/>
      <c r="Q14" s="417" t="s">
        <v>34</v>
      </c>
      <c r="R14" s="44"/>
      <c r="S14" s="44">
        <f t="shared" si="0"/>
        <v>1.7440351144158788</v>
      </c>
      <c r="T14" s="70"/>
      <c r="V14" s="70"/>
    </row>
    <row r="15" spans="1:22" ht="16.149999999999999" customHeight="1">
      <c r="A15" s="274">
        <v>1989</v>
      </c>
      <c r="B15" s="44"/>
      <c r="C15" s="44">
        <f>'Exhibit 5.1'!E8</f>
        <v>2.9053235272639708</v>
      </c>
      <c r="D15" s="44"/>
      <c r="E15" s="417" t="s">
        <v>34</v>
      </c>
      <c r="F15" s="417"/>
      <c r="G15" s="417" t="s">
        <v>34</v>
      </c>
      <c r="H15" s="44"/>
      <c r="I15" s="417">
        <v>0.55879219988805662</v>
      </c>
      <c r="J15" s="44"/>
      <c r="K15" s="417">
        <v>0.99299999999999999</v>
      </c>
      <c r="L15" s="417"/>
      <c r="M15" s="417">
        <v>0.94499999999999995</v>
      </c>
      <c r="N15" s="417"/>
      <c r="O15" s="417">
        <v>1.0169999999999999</v>
      </c>
      <c r="P15" s="44"/>
      <c r="Q15" s="417" t="s">
        <v>34</v>
      </c>
      <c r="R15" s="44"/>
      <c r="S15" s="44">
        <f t="shared" si="0"/>
        <v>1.6774180937918435</v>
      </c>
      <c r="T15" s="70"/>
      <c r="V15" s="70"/>
    </row>
    <row r="16" spans="1:22" ht="16.149999999999999" customHeight="1">
      <c r="A16" s="274">
        <v>1990</v>
      </c>
      <c r="B16" s="44"/>
      <c r="C16" s="44">
        <f>'Exhibit 5.1'!E9</f>
        <v>2.7669747878704483</v>
      </c>
      <c r="D16" s="44"/>
      <c r="E16" s="417" t="s">
        <v>34</v>
      </c>
      <c r="F16" s="417"/>
      <c r="G16" s="417" t="s">
        <v>34</v>
      </c>
      <c r="H16" s="44"/>
      <c r="I16" s="417">
        <v>0.54488560667817287</v>
      </c>
      <c r="J16" s="44"/>
      <c r="K16" s="417">
        <v>0.99099999999999999</v>
      </c>
      <c r="L16" s="417"/>
      <c r="M16" s="417">
        <v>0.94199999999999995</v>
      </c>
      <c r="N16" s="417"/>
      <c r="O16" s="417">
        <v>1.0169999999999999</v>
      </c>
      <c r="P16" s="44"/>
      <c r="Q16" s="417" t="s">
        <v>34</v>
      </c>
      <c r="R16" s="44"/>
      <c r="S16" s="44">
        <f t="shared" si="0"/>
        <v>1.559596804773657</v>
      </c>
      <c r="T16" s="70"/>
      <c r="V16" s="70"/>
    </row>
    <row r="17" spans="1:22" ht="16.149999999999999" customHeight="1">
      <c r="A17" s="274">
        <v>1991</v>
      </c>
      <c r="B17" s="44"/>
      <c r="C17" s="44">
        <f>'Exhibit 5.1'!E10</f>
        <v>2.7047651885341626</v>
      </c>
      <c r="D17" s="44"/>
      <c r="E17" s="417" t="s">
        <v>34</v>
      </c>
      <c r="F17" s="417"/>
      <c r="G17" s="417" t="s">
        <v>34</v>
      </c>
      <c r="H17" s="44"/>
      <c r="I17" s="417">
        <v>0.50443006279487468</v>
      </c>
      <c r="J17" s="44"/>
      <c r="K17" s="417">
        <v>0.98699999999999999</v>
      </c>
      <c r="L17" s="417"/>
      <c r="M17" s="417">
        <v>0.93899999999999995</v>
      </c>
      <c r="N17" s="417"/>
      <c r="O17" s="417">
        <v>1.0169999999999999</v>
      </c>
      <c r="P17" s="44"/>
      <c r="Q17" s="417" t="s">
        <v>34</v>
      </c>
      <c r="R17" s="44"/>
      <c r="S17" s="44">
        <f t="shared" si="0"/>
        <v>1.4101364456392644</v>
      </c>
      <c r="T17" s="70"/>
      <c r="V17" s="70"/>
    </row>
    <row r="18" spans="1:22" ht="16.149999999999999" customHeight="1">
      <c r="A18" s="274">
        <v>1992</v>
      </c>
      <c r="B18" s="44"/>
      <c r="C18" s="44">
        <f>'Exhibit 5.1'!E11</f>
        <v>2.5833478400517316</v>
      </c>
      <c r="D18" s="44"/>
      <c r="E18" s="417" t="s">
        <v>34</v>
      </c>
      <c r="F18" s="417"/>
      <c r="G18" s="417" t="s">
        <v>34</v>
      </c>
      <c r="H18" s="44"/>
      <c r="I18" s="417">
        <v>0.48420229085322558</v>
      </c>
      <c r="J18" s="44"/>
      <c r="K18" s="417">
        <v>0.98199999999999998</v>
      </c>
      <c r="L18" s="417"/>
      <c r="M18" s="417">
        <v>0.94</v>
      </c>
      <c r="N18" s="417"/>
      <c r="O18" s="417">
        <v>1.0169999999999999</v>
      </c>
      <c r="P18" s="44"/>
      <c r="Q18" s="417" t="s">
        <v>34</v>
      </c>
      <c r="R18" s="44"/>
      <c r="S18" s="44">
        <f t="shared" si="0"/>
        <v>1.2849091082070261</v>
      </c>
      <c r="T18" s="70"/>
      <c r="V18" s="70"/>
    </row>
    <row r="19" spans="1:22" ht="16.149999999999999" customHeight="1">
      <c r="A19" s="274">
        <v>1993</v>
      </c>
      <c r="B19" s="44"/>
      <c r="C19" s="44">
        <f>'Exhibit 5.1'!E12</f>
        <v>2.552715256968114</v>
      </c>
      <c r="D19" s="44"/>
      <c r="E19" s="417" t="s">
        <v>34</v>
      </c>
      <c r="F19" s="417"/>
      <c r="G19" s="417" t="s">
        <v>34</v>
      </c>
      <c r="H19" s="44"/>
      <c r="I19" s="417">
        <v>0.47788111212146017</v>
      </c>
      <c r="J19" s="44"/>
      <c r="K19" s="417">
        <v>0.98099999999999998</v>
      </c>
      <c r="L19" s="417"/>
      <c r="M19" s="417">
        <v>0.94899999999999995</v>
      </c>
      <c r="N19" s="417"/>
      <c r="O19" s="417">
        <v>1.0169999999999999</v>
      </c>
      <c r="P19" s="44"/>
      <c r="Q19" s="417" t="s">
        <v>34</v>
      </c>
      <c r="R19" s="44"/>
      <c r="S19" s="44">
        <f t="shared" si="0"/>
        <v>1.2399497397940842</v>
      </c>
      <c r="T19" s="70"/>
      <c r="V19" s="70"/>
    </row>
    <row r="20" spans="1:22" ht="16.149999999999999" customHeight="1">
      <c r="A20" s="274">
        <v>1994</v>
      </c>
      <c r="B20" s="44"/>
      <c r="C20" s="44">
        <f>'Exhibit 5.1'!E13</f>
        <v>2.5075788378861632</v>
      </c>
      <c r="D20" s="44"/>
      <c r="E20" s="417" t="s">
        <v>34</v>
      </c>
      <c r="F20" s="417"/>
      <c r="G20" s="417" t="s">
        <v>34</v>
      </c>
      <c r="H20" s="44"/>
      <c r="I20" s="417">
        <v>0.54741407817087895</v>
      </c>
      <c r="J20" s="44"/>
      <c r="K20" s="417">
        <v>0.98599999999999999</v>
      </c>
      <c r="L20" s="417"/>
      <c r="M20" s="417">
        <v>0.94799999999999995</v>
      </c>
      <c r="N20" s="417"/>
      <c r="O20" s="417">
        <v>1.0169999999999999</v>
      </c>
      <c r="P20" s="44"/>
      <c r="Q20" s="417" t="s">
        <v>34</v>
      </c>
      <c r="R20" s="44"/>
      <c r="S20" s="44">
        <f t="shared" si="0"/>
        <v>1.4038418432745712</v>
      </c>
      <c r="T20" s="70"/>
      <c r="V20" s="70"/>
    </row>
    <row r="21" spans="1:22" ht="16.149999999999999" customHeight="1">
      <c r="A21" s="274">
        <v>1995</v>
      </c>
      <c r="B21" s="44"/>
      <c r="C21" s="44">
        <f>'Exhibit 5.1'!E14</f>
        <v>2.4369084916289245</v>
      </c>
      <c r="D21" s="44"/>
      <c r="E21" s="417" t="s">
        <v>34</v>
      </c>
      <c r="F21" s="417"/>
      <c r="G21" s="417" t="s">
        <v>34</v>
      </c>
      <c r="H21" s="44"/>
      <c r="I21" s="417">
        <v>0.74084214736289866</v>
      </c>
      <c r="J21" s="44"/>
      <c r="K21" s="417">
        <v>0.995</v>
      </c>
      <c r="L21" s="417"/>
      <c r="M21" s="417">
        <v>0.95799999999999996</v>
      </c>
      <c r="N21" s="417"/>
      <c r="O21" s="417">
        <v>1.0169999999999999</v>
      </c>
      <c r="P21" s="44"/>
      <c r="Q21" s="417" t="s">
        <v>34</v>
      </c>
      <c r="R21" s="44"/>
      <c r="S21" s="44">
        <f t="shared" si="0"/>
        <v>1.8437478289392732</v>
      </c>
      <c r="T21" s="70"/>
      <c r="V21" s="70"/>
    </row>
    <row r="22" spans="1:22" ht="16.149999999999999" customHeight="1">
      <c r="A22" s="274">
        <v>1996</v>
      </c>
      <c r="B22" s="44"/>
      <c r="C22" s="44">
        <f>'Exhibit 5.1'!E15</f>
        <v>2.3567780383258459</v>
      </c>
      <c r="D22" s="44"/>
      <c r="E22" s="417">
        <v>1.0229999999999999</v>
      </c>
      <c r="F22" s="417"/>
      <c r="G22" s="417">
        <v>0.78700000000000003</v>
      </c>
      <c r="H22" s="44"/>
      <c r="I22" s="44">
        <f t="shared" ref="I22:I43" si="1">+G22/E22</f>
        <v>0.76930596285435004</v>
      </c>
      <c r="J22" s="44"/>
      <c r="K22" s="417">
        <v>1</v>
      </c>
      <c r="L22" s="417"/>
      <c r="M22" s="417">
        <v>0.93500000000000005</v>
      </c>
      <c r="N22" s="417"/>
      <c r="O22" s="417">
        <v>1.0169999999999999</v>
      </c>
      <c r="P22" s="44"/>
      <c r="Q22" s="417" t="s">
        <v>34</v>
      </c>
      <c r="R22" s="44"/>
      <c r="S22" s="44">
        <f t="shared" si="0"/>
        <v>1.9067125161119276</v>
      </c>
      <c r="T22" s="70"/>
      <c r="V22" s="70"/>
    </row>
    <row r="23" spans="1:22" ht="16.149999999999999" customHeight="1">
      <c r="A23" s="274">
        <v>1997</v>
      </c>
      <c r="B23" s="44"/>
      <c r="C23" s="44">
        <f>'Exhibit 5.1'!E16</f>
        <v>2.2509818895184774</v>
      </c>
      <c r="D23" s="44"/>
      <c r="E23" s="417">
        <v>0.98899999999999999</v>
      </c>
      <c r="F23" s="417"/>
      <c r="G23" s="417">
        <v>0.78500000000000003</v>
      </c>
      <c r="H23" s="44"/>
      <c r="I23" s="44">
        <f t="shared" si="1"/>
        <v>0.79373104145601625</v>
      </c>
      <c r="J23" s="44"/>
      <c r="K23" s="417">
        <v>1</v>
      </c>
      <c r="L23" s="417"/>
      <c r="M23" s="417">
        <v>0.94899999999999995</v>
      </c>
      <c r="N23" s="417"/>
      <c r="O23" s="417">
        <v>1.0169999999999999</v>
      </c>
      <c r="P23" s="44"/>
      <c r="Q23" s="417" t="s">
        <v>34</v>
      </c>
      <c r="R23" s="44"/>
      <c r="S23" s="44">
        <f t="shared" si="0"/>
        <v>1.8512207120325723</v>
      </c>
      <c r="T23" s="70"/>
      <c r="V23" s="70"/>
    </row>
    <row r="24" spans="1:22" ht="16.149999999999999" customHeight="1">
      <c r="A24" s="274">
        <v>1998</v>
      </c>
      <c r="B24" s="44"/>
      <c r="C24" s="44">
        <f>'Exhibit 5.1'!E17</f>
        <v>2.1397166250175639</v>
      </c>
      <c r="D24" s="44"/>
      <c r="E24" s="417">
        <v>0.96499999999999997</v>
      </c>
      <c r="F24" s="417"/>
      <c r="G24" s="417">
        <v>0.81799999999999995</v>
      </c>
      <c r="H24" s="44"/>
      <c r="I24" s="44">
        <f t="shared" si="1"/>
        <v>0.84766839378238334</v>
      </c>
      <c r="J24" s="44"/>
      <c r="K24" s="417">
        <v>1</v>
      </c>
      <c r="L24" s="417"/>
      <c r="M24" s="417">
        <v>0.95899999999999996</v>
      </c>
      <c r="N24" s="417"/>
      <c r="O24" s="417">
        <v>1.0169999999999999</v>
      </c>
      <c r="P24" s="44"/>
      <c r="Q24" s="417" t="s">
        <v>34</v>
      </c>
      <c r="R24" s="44"/>
      <c r="S24" s="44">
        <f t="shared" si="0"/>
        <v>1.8596991444485464</v>
      </c>
      <c r="T24" s="70"/>
      <c r="V24" s="70"/>
    </row>
    <row r="25" spans="1:22" ht="16.149999999999999" customHeight="1">
      <c r="A25" s="274">
        <v>1999</v>
      </c>
      <c r="B25" s="44"/>
      <c r="C25" s="44">
        <f>'Exhibit 5.1'!E18</f>
        <v>2.0147990819374422</v>
      </c>
      <c r="D25" s="44"/>
      <c r="E25" s="417">
        <v>0.97199999999999998</v>
      </c>
      <c r="F25" s="417"/>
      <c r="G25" s="417">
        <v>0.82699999999999996</v>
      </c>
      <c r="H25" s="44"/>
      <c r="I25" s="44">
        <f t="shared" si="1"/>
        <v>0.85082304526748964</v>
      </c>
      <c r="J25" s="44"/>
      <c r="K25" s="417">
        <v>1</v>
      </c>
      <c r="L25" s="417"/>
      <c r="M25" s="417">
        <v>0.95399999999999996</v>
      </c>
      <c r="N25" s="417"/>
      <c r="O25" s="417">
        <v>1.0169999999999999</v>
      </c>
      <c r="P25" s="44"/>
      <c r="Q25" s="417" t="s">
        <v>34</v>
      </c>
      <c r="R25" s="44"/>
      <c r="S25" s="44">
        <f t="shared" si="0"/>
        <v>1.7668580571543273</v>
      </c>
      <c r="T25" s="70"/>
      <c r="V25" s="70"/>
    </row>
    <row r="26" spans="1:22" ht="16.149999999999999" customHeight="1">
      <c r="A26" s="274">
        <v>2000</v>
      </c>
      <c r="B26" s="44"/>
      <c r="C26" s="44">
        <f>'Exhibit 5.1'!E19</f>
        <v>1.8484395247132495</v>
      </c>
      <c r="D26" s="44"/>
      <c r="E26" s="417">
        <v>1.0049999999999999</v>
      </c>
      <c r="F26" s="417"/>
      <c r="G26" s="417">
        <v>0.75</v>
      </c>
      <c r="H26" s="44"/>
      <c r="I26" s="44">
        <f t="shared" si="1"/>
        <v>0.74626865671641796</v>
      </c>
      <c r="J26" s="44"/>
      <c r="K26" s="417">
        <v>1</v>
      </c>
      <c r="L26" s="417"/>
      <c r="M26" s="417">
        <v>0.97</v>
      </c>
      <c r="N26" s="417"/>
      <c r="O26" s="417">
        <v>1.0169999999999999</v>
      </c>
      <c r="P26" s="44"/>
      <c r="Q26" s="417" t="s">
        <v>34</v>
      </c>
      <c r="R26" s="44"/>
      <c r="S26" s="44">
        <f t="shared" si="0"/>
        <v>1.3983238361557551</v>
      </c>
      <c r="T26" s="70"/>
      <c r="V26" s="70"/>
    </row>
    <row r="27" spans="1:22" ht="16.149999999999999" customHeight="1">
      <c r="A27" s="274">
        <v>2001</v>
      </c>
      <c r="B27" s="93"/>
      <c r="C27" s="44">
        <f>'Exhibit 5.1'!E20</f>
        <v>1.8374150345062121</v>
      </c>
      <c r="D27" s="44"/>
      <c r="E27" s="417">
        <v>1.0289999999999999</v>
      </c>
      <c r="F27" s="417"/>
      <c r="G27" s="417">
        <v>0.66</v>
      </c>
      <c r="H27" s="44"/>
      <c r="I27" s="44">
        <f t="shared" si="1"/>
        <v>0.6413994169096211</v>
      </c>
      <c r="J27" s="44"/>
      <c r="K27" s="417">
        <v>1</v>
      </c>
      <c r="L27" s="417"/>
      <c r="M27" s="417">
        <v>0.96899999999999997</v>
      </c>
      <c r="N27" s="417"/>
      <c r="O27" s="417">
        <v>1.0169999999999999</v>
      </c>
      <c r="P27" s="44"/>
      <c r="Q27" s="417" t="s">
        <v>34</v>
      </c>
      <c r="R27" s="44"/>
      <c r="S27" s="44">
        <f t="shared" si="0"/>
        <v>1.1958896202668727</v>
      </c>
      <c r="T27" s="94"/>
      <c r="V27" s="70"/>
    </row>
    <row r="28" spans="1:22" ht="16.149999999999999" customHeight="1">
      <c r="A28" s="274">
        <v>2002</v>
      </c>
      <c r="B28" s="93"/>
      <c r="C28" s="44">
        <f>'Exhibit 5.1'!E21</f>
        <v>1.8174233773553039</v>
      </c>
      <c r="D28" s="44"/>
      <c r="E28" s="417">
        <v>1.157</v>
      </c>
      <c r="F28" s="417"/>
      <c r="G28" s="417">
        <v>0.59099999999999997</v>
      </c>
      <c r="H28" s="44"/>
      <c r="I28" s="44">
        <f t="shared" si="1"/>
        <v>0.51080380293863437</v>
      </c>
      <c r="J28" s="44"/>
      <c r="K28" s="417">
        <v>1</v>
      </c>
      <c r="L28" s="417"/>
      <c r="M28" s="417">
        <v>0.99099999999999999</v>
      </c>
      <c r="N28" s="417"/>
      <c r="O28" s="417">
        <v>1.0169999999999999</v>
      </c>
      <c r="P28" s="44"/>
      <c r="Q28" s="417" t="s">
        <v>34</v>
      </c>
      <c r="R28" s="44"/>
      <c r="S28" s="44">
        <f t="shared" si="0"/>
        <v>0.92111875384127351</v>
      </c>
      <c r="T28" s="94"/>
      <c r="V28" s="70"/>
    </row>
    <row r="29" spans="1:22" ht="16.149999999999999" customHeight="1">
      <c r="A29" s="274">
        <v>2003</v>
      </c>
      <c r="B29" s="93"/>
      <c r="C29" s="44">
        <f>'Exhibit 5.1'!E22</f>
        <v>1.7542696692618762</v>
      </c>
      <c r="D29" s="44"/>
      <c r="E29" s="417">
        <v>1.2669999999999999</v>
      </c>
      <c r="F29" s="417"/>
      <c r="G29" s="417">
        <v>0.48399999999999999</v>
      </c>
      <c r="H29" s="44"/>
      <c r="I29" s="44">
        <f t="shared" si="1"/>
        <v>0.38200473559589582</v>
      </c>
      <c r="J29" s="44"/>
      <c r="K29" s="417">
        <v>1</v>
      </c>
      <c r="L29" s="417"/>
      <c r="M29" s="417">
        <v>1.0049999999999999</v>
      </c>
      <c r="N29" s="417"/>
      <c r="O29" s="417">
        <v>1.0169999999999999</v>
      </c>
      <c r="P29" s="44"/>
      <c r="Q29" s="417" t="s">
        <v>34</v>
      </c>
      <c r="R29" s="44"/>
      <c r="S29" s="44">
        <f t="shared" si="0"/>
        <v>0.65565909016401069</v>
      </c>
      <c r="T29" s="94"/>
      <c r="V29" s="70"/>
    </row>
    <row r="30" spans="1:22" ht="16.149999999999999" customHeight="1">
      <c r="A30" s="274">
        <v>2004</v>
      </c>
      <c r="B30" s="93"/>
      <c r="C30" s="44">
        <f>'Exhibit 5.1'!E23</f>
        <v>1.670733018344644</v>
      </c>
      <c r="D30" s="44"/>
      <c r="E30" s="417">
        <v>1.397</v>
      </c>
      <c r="F30" s="417"/>
      <c r="G30" s="417">
        <v>0.49199999999999999</v>
      </c>
      <c r="H30" s="44"/>
      <c r="I30" s="44">
        <f t="shared" si="1"/>
        <v>0.3521832498210451</v>
      </c>
      <c r="J30" s="44"/>
      <c r="K30" s="417">
        <v>1</v>
      </c>
      <c r="L30" s="417"/>
      <c r="M30" s="417">
        <v>0.98099999999999998</v>
      </c>
      <c r="N30" s="417"/>
      <c r="O30" s="417">
        <v>1.0169999999999999</v>
      </c>
      <c r="P30" s="44"/>
      <c r="Q30" s="417" t="s">
        <v>34</v>
      </c>
      <c r="R30" s="44"/>
      <c r="S30" s="44">
        <f t="shared" si="0"/>
        <v>0.5897742295191134</v>
      </c>
      <c r="T30" s="94"/>
      <c r="V30" s="70"/>
    </row>
    <row r="31" spans="1:22" ht="16.149999999999999" customHeight="1">
      <c r="A31" s="274">
        <v>2005</v>
      </c>
      <c r="B31" s="93"/>
      <c r="C31" s="44">
        <f>'Exhibit 5.1'!E24</f>
        <v>1.6189273433572131</v>
      </c>
      <c r="D31" s="44"/>
      <c r="E31" s="417">
        <v>1.47</v>
      </c>
      <c r="F31" s="417"/>
      <c r="G31" s="417">
        <v>0.59199999999999997</v>
      </c>
      <c r="H31" s="44"/>
      <c r="I31" s="44">
        <f t="shared" si="1"/>
        <v>0.40272108843537413</v>
      </c>
      <c r="J31" s="44"/>
      <c r="K31" s="417">
        <v>1</v>
      </c>
      <c r="L31" s="417"/>
      <c r="M31" s="417">
        <v>0.98199999999999998</v>
      </c>
      <c r="N31" s="417"/>
      <c r="O31" s="417">
        <v>1.0169999999999999</v>
      </c>
      <c r="P31" s="44"/>
      <c r="Q31" s="417" t="s">
        <v>34</v>
      </c>
      <c r="R31" s="44"/>
      <c r="S31" s="44">
        <f t="shared" si="0"/>
        <v>0.65282877619631796</v>
      </c>
      <c r="T31" s="94"/>
      <c r="V31" s="70"/>
    </row>
    <row r="32" spans="1:22" ht="16.149999999999999" customHeight="1">
      <c r="A32" s="274">
        <v>2006</v>
      </c>
      <c r="B32" s="93"/>
      <c r="C32" s="44">
        <f>'Exhibit 5.1'!E25</f>
        <v>1.547731685809955</v>
      </c>
      <c r="D32" s="93"/>
      <c r="E32" s="417">
        <v>1.4470000000000001</v>
      </c>
      <c r="F32" s="417"/>
      <c r="G32" s="417">
        <v>0.76300000000000001</v>
      </c>
      <c r="H32" s="93"/>
      <c r="I32" s="44">
        <f t="shared" si="1"/>
        <v>0.52729785763648929</v>
      </c>
      <c r="J32" s="93"/>
      <c r="K32" s="417">
        <v>1</v>
      </c>
      <c r="L32" s="456"/>
      <c r="M32" s="417">
        <v>0.95599999999999996</v>
      </c>
      <c r="N32" s="456"/>
      <c r="O32" s="417">
        <v>1.0169999999999999</v>
      </c>
      <c r="P32" s="44"/>
      <c r="Q32" s="417" t="s">
        <v>34</v>
      </c>
      <c r="R32" s="93"/>
      <c r="S32" s="44">
        <f t="shared" si="0"/>
        <v>0.83940748090382056</v>
      </c>
      <c r="T32" s="94"/>
      <c r="V32" s="70"/>
    </row>
    <row r="33" spans="1:22" ht="16.149999999999999" customHeight="1">
      <c r="A33" s="274">
        <v>2007</v>
      </c>
      <c r="B33" s="93"/>
      <c r="C33" s="44">
        <f>'Exhibit 5.1'!E26</f>
        <v>1.4810829529281868</v>
      </c>
      <c r="D33" s="93"/>
      <c r="E33" s="417">
        <v>1.4930000000000001</v>
      </c>
      <c r="F33" s="417"/>
      <c r="G33" s="417">
        <v>1.0389999999999999</v>
      </c>
      <c r="H33" s="93"/>
      <c r="I33" s="44">
        <f t="shared" si="1"/>
        <v>0.69591426657736088</v>
      </c>
      <c r="J33" s="93"/>
      <c r="K33" s="417">
        <v>1</v>
      </c>
      <c r="L33" s="456"/>
      <c r="M33" s="417">
        <v>0.93100000000000005</v>
      </c>
      <c r="N33" s="456"/>
      <c r="O33" s="417">
        <v>1.0169999999999999</v>
      </c>
      <c r="P33" s="44"/>
      <c r="Q33" s="417">
        <v>0.98499999999999999</v>
      </c>
      <c r="R33" s="93"/>
      <c r="S33" s="44">
        <f t="shared" si="0"/>
        <v>1.0885903728212767</v>
      </c>
      <c r="T33" s="94"/>
      <c r="V33" s="70"/>
    </row>
    <row r="34" spans="1:22" ht="16.149999999999999" customHeight="1">
      <c r="A34" s="274">
        <v>2008</v>
      </c>
      <c r="B34" s="93"/>
      <c r="C34" s="44">
        <f>'Exhibit 5.1'!E27</f>
        <v>1.4506199343077246</v>
      </c>
      <c r="D34" s="93"/>
      <c r="E34" s="417">
        <v>1.4259999999999999</v>
      </c>
      <c r="F34" s="417"/>
      <c r="G34" s="417">
        <v>1.2370000000000001</v>
      </c>
      <c r="H34" s="93"/>
      <c r="I34" s="44">
        <f t="shared" si="1"/>
        <v>0.86746143057503522</v>
      </c>
      <c r="J34" s="93"/>
      <c r="K34" s="417">
        <v>1</v>
      </c>
      <c r="L34" s="456"/>
      <c r="M34" s="417">
        <v>0.94599999999999995</v>
      </c>
      <c r="N34" s="456"/>
      <c r="O34" s="417">
        <v>1.0169999999999999</v>
      </c>
      <c r="P34" s="44"/>
      <c r="Q34" s="417">
        <v>0.99099999999999999</v>
      </c>
      <c r="R34" s="93"/>
      <c r="S34" s="44">
        <f t="shared" si="0"/>
        <v>1.3079517582027753</v>
      </c>
      <c r="T34" s="94"/>
      <c r="V34" s="70"/>
    </row>
    <row r="35" spans="1:22" ht="16.149999999999999" customHeight="1">
      <c r="A35" s="274">
        <v>2009</v>
      </c>
      <c r="B35" s="93"/>
      <c r="C35" s="44">
        <f>'Exhibit 5.1'!E28</f>
        <v>1.4434029197091789</v>
      </c>
      <c r="D35" s="93"/>
      <c r="E35" s="417">
        <v>1.3660000000000001</v>
      </c>
      <c r="F35" s="417"/>
      <c r="G35" s="417">
        <v>1.2190000000000001</v>
      </c>
      <c r="H35" s="93"/>
      <c r="I35" s="44">
        <f t="shared" si="1"/>
        <v>0.8923865300146413</v>
      </c>
      <c r="J35" s="93"/>
      <c r="K35" s="417">
        <v>1</v>
      </c>
      <c r="L35" s="456"/>
      <c r="M35" s="417">
        <v>0.93700000000000006</v>
      </c>
      <c r="N35" s="456"/>
      <c r="O35" s="417">
        <v>1.0169999999999999</v>
      </c>
      <c r="P35" s="44"/>
      <c r="Q35" s="417">
        <v>1.034</v>
      </c>
      <c r="R35" s="93"/>
      <c r="S35" s="44">
        <f t="shared" si="0"/>
        <v>1.3516991538008354</v>
      </c>
      <c r="T35" s="94"/>
      <c r="V35" s="70"/>
    </row>
    <row r="36" spans="1:22" ht="16.149999999999999" customHeight="1">
      <c r="A36" s="274">
        <v>2010</v>
      </c>
      <c r="B36" s="93"/>
      <c r="C36" s="44">
        <f>'Exhibit 5.1'!E29</f>
        <v>1.4013620579700765</v>
      </c>
      <c r="D36" s="93"/>
      <c r="E36" s="417">
        <v>1.3839999999999999</v>
      </c>
      <c r="F36" s="417"/>
      <c r="G36" s="417">
        <v>1.1950000000000001</v>
      </c>
      <c r="H36" s="93"/>
      <c r="I36" s="44">
        <f t="shared" si="1"/>
        <v>0.86343930635838162</v>
      </c>
      <c r="J36" s="93"/>
      <c r="K36" s="417">
        <v>1</v>
      </c>
      <c r="L36" s="456"/>
      <c r="M36" s="417">
        <v>0.94099999999999995</v>
      </c>
      <c r="N36" s="456"/>
      <c r="O36" s="417">
        <v>1.0169999999999999</v>
      </c>
      <c r="P36" s="44"/>
      <c r="Q36" s="417">
        <v>1.0049999999999999</v>
      </c>
      <c r="R36" s="93"/>
      <c r="S36" s="44">
        <f t="shared" si="0"/>
        <v>1.2643624622549885</v>
      </c>
      <c r="T36" s="94"/>
      <c r="V36" s="70"/>
    </row>
    <row r="37" spans="1:22" ht="16.149999999999999" customHeight="1">
      <c r="A37" s="274">
        <v>2011</v>
      </c>
      <c r="B37" s="93"/>
      <c r="C37" s="44">
        <f>'Exhibit 5.1'!E30</f>
        <v>1.3618678891837479</v>
      </c>
      <c r="D37" s="93"/>
      <c r="E37" s="417">
        <v>1.401</v>
      </c>
      <c r="F37" s="417"/>
      <c r="G37" s="417">
        <v>1.194</v>
      </c>
      <c r="H37" s="93"/>
      <c r="I37" s="44">
        <f t="shared" si="1"/>
        <v>0.85224839400428265</v>
      </c>
      <c r="J37" s="93"/>
      <c r="K37" s="417">
        <v>1</v>
      </c>
      <c r="L37" s="456"/>
      <c r="M37" s="417">
        <v>0.98199999999999998</v>
      </c>
      <c r="N37" s="456"/>
      <c r="O37" s="417">
        <v>1.0169999999999999</v>
      </c>
      <c r="P37" s="44"/>
      <c r="Q37" s="457" t="s">
        <v>34</v>
      </c>
      <c r="R37" s="93"/>
      <c r="S37" s="44">
        <f t="shared" si="0"/>
        <v>1.1621675121737505</v>
      </c>
      <c r="T37" s="94"/>
      <c r="V37" s="70"/>
    </row>
    <row r="38" spans="1:22" ht="16.149999999999999" customHeight="1">
      <c r="A38" s="274">
        <v>2012</v>
      </c>
      <c r="B38" s="93"/>
      <c r="C38" s="44">
        <f>'Exhibit 5.1'!E31</f>
        <v>1.3082304410987013</v>
      </c>
      <c r="D38" s="93"/>
      <c r="E38" s="417">
        <v>1.2230000000000001</v>
      </c>
      <c r="F38" s="417"/>
      <c r="G38" s="417">
        <v>0.98399999999999999</v>
      </c>
      <c r="H38" s="93"/>
      <c r="I38" s="44">
        <f t="shared" si="1"/>
        <v>0.80457890433360579</v>
      </c>
      <c r="J38" s="93"/>
      <c r="K38" s="417">
        <v>1</v>
      </c>
      <c r="L38" s="456"/>
      <c r="M38" s="417">
        <v>1</v>
      </c>
      <c r="N38" s="456"/>
      <c r="O38" s="417">
        <v>1.0169999999999999</v>
      </c>
      <c r="P38" s="44"/>
      <c r="Q38" s="417" t="s">
        <v>34</v>
      </c>
      <c r="R38" s="93"/>
      <c r="S38" s="44">
        <f t="shared" si="0"/>
        <v>1.0349799556686952</v>
      </c>
      <c r="T38" s="94"/>
      <c r="V38" s="70"/>
    </row>
    <row r="39" spans="1:22" ht="16.149999999999999" customHeight="1">
      <c r="A39" s="274">
        <v>2013</v>
      </c>
      <c r="B39" s="93"/>
      <c r="C39" s="44">
        <f>'Exhibit 5.1'!E32</f>
        <v>1.2978476598201403</v>
      </c>
      <c r="D39" s="93"/>
      <c r="E39" s="417">
        <v>1.1379999999999999</v>
      </c>
      <c r="F39" s="417"/>
      <c r="G39" s="417">
        <v>0.79200000000000004</v>
      </c>
      <c r="H39" s="93"/>
      <c r="I39" s="44">
        <f t="shared" si="1"/>
        <v>0.69595782073813717</v>
      </c>
      <c r="J39" s="93"/>
      <c r="K39" s="417">
        <v>1</v>
      </c>
      <c r="L39" s="456"/>
      <c r="M39" s="417">
        <v>0.98299999999999998</v>
      </c>
      <c r="N39" s="456"/>
      <c r="O39" s="417">
        <v>1.0169999999999999</v>
      </c>
      <c r="P39" s="44"/>
      <c r="Q39" s="417" t="s">
        <v>34</v>
      </c>
      <c r="R39" s="93"/>
      <c r="S39" s="44">
        <f t="shared" si="0"/>
        <v>0.90350834288961124</v>
      </c>
      <c r="T39" s="94"/>
      <c r="V39" s="70"/>
    </row>
    <row r="40" spans="1:22" ht="16.149999999999999" customHeight="1">
      <c r="A40" s="274">
        <v>2014</v>
      </c>
      <c r="B40" s="93"/>
      <c r="C40" s="44">
        <f>'Exhibit 5.1'!E33</f>
        <v>1.2576043215311437</v>
      </c>
      <c r="D40" s="93"/>
      <c r="E40" s="417">
        <v>1.1259999999999999</v>
      </c>
      <c r="F40" s="417"/>
      <c r="G40" s="417">
        <v>0.73</v>
      </c>
      <c r="H40" s="93"/>
      <c r="I40" s="44">
        <f t="shared" si="1"/>
        <v>0.64831261101243343</v>
      </c>
      <c r="J40" s="93"/>
      <c r="K40" s="417">
        <v>1</v>
      </c>
      <c r="L40" s="456"/>
      <c r="M40" s="417">
        <v>0.96099999999999997</v>
      </c>
      <c r="N40" s="456"/>
      <c r="O40" s="417">
        <v>1.0169999999999999</v>
      </c>
      <c r="P40" s="44"/>
      <c r="Q40" s="417" t="s">
        <v>34</v>
      </c>
      <c r="R40" s="93"/>
      <c r="S40" s="44">
        <f t="shared" si="0"/>
        <v>0.83422682382062252</v>
      </c>
      <c r="T40" s="94"/>
      <c r="V40" s="70"/>
    </row>
    <row r="41" spans="1:22" ht="16.149999999999999" customHeight="1">
      <c r="A41" s="274">
        <v>2015</v>
      </c>
      <c r="B41" s="93"/>
      <c r="C41" s="44">
        <f>'Exhibit 5.1'!E34</f>
        <v>1.2034491115130561</v>
      </c>
      <c r="D41" s="93"/>
      <c r="E41" s="417">
        <v>1.109</v>
      </c>
      <c r="F41" s="417"/>
      <c r="G41" s="417">
        <v>0.70899999999999996</v>
      </c>
      <c r="H41" s="93"/>
      <c r="I41" s="44">
        <f t="shared" si="1"/>
        <v>0.63931469792605944</v>
      </c>
      <c r="J41" s="93"/>
      <c r="K41" s="417">
        <v>1</v>
      </c>
      <c r="L41" s="456"/>
      <c r="M41" s="417">
        <v>0.95099999999999996</v>
      </c>
      <c r="N41" s="456"/>
      <c r="O41" s="417">
        <v>1.0169999999999999</v>
      </c>
      <c r="P41" s="44"/>
      <c r="Q41" s="417" t="s">
        <v>34</v>
      </c>
      <c r="R41" s="93"/>
      <c r="S41" s="44">
        <f t="shared" si="0"/>
        <v>0.79550140275294157</v>
      </c>
      <c r="T41" s="94"/>
      <c r="V41" s="70"/>
    </row>
    <row r="42" spans="1:22" ht="16.149999999999999" customHeight="1">
      <c r="A42" s="274">
        <v>2016</v>
      </c>
      <c r="B42" s="93"/>
      <c r="C42" s="44">
        <f>'Exhibit 5.1'!E35</f>
        <v>1.1810099229765028</v>
      </c>
      <c r="D42" s="93"/>
      <c r="E42" s="417">
        <v>1.1479999999999999</v>
      </c>
      <c r="F42" s="417"/>
      <c r="G42" s="417">
        <v>0.76400000000000001</v>
      </c>
      <c r="H42" s="93"/>
      <c r="I42" s="44">
        <f t="shared" si="1"/>
        <v>0.66550522648083632</v>
      </c>
      <c r="J42" s="93"/>
      <c r="K42" s="417">
        <v>1</v>
      </c>
      <c r="L42" s="456"/>
      <c r="M42" s="417">
        <v>0.94899999999999995</v>
      </c>
      <c r="N42" s="456"/>
      <c r="O42" s="417">
        <v>1.0169999999999999</v>
      </c>
      <c r="P42" s="44"/>
      <c r="Q42" s="417" t="s">
        <v>34</v>
      </c>
      <c r="R42" s="93"/>
      <c r="S42" s="44">
        <f t="shared" si="0"/>
        <v>0.81436265910148398</v>
      </c>
      <c r="T42" s="338"/>
      <c r="V42" s="70"/>
    </row>
    <row r="43" spans="1:22" s="317" customFormat="1" ht="16.149999999999999" customHeight="1">
      <c r="A43" s="319">
        <v>2017</v>
      </c>
      <c r="B43" s="93"/>
      <c r="C43" s="44">
        <f>'Exhibit 5.1'!E36</f>
        <v>1.1334068358699643</v>
      </c>
      <c r="D43" s="93"/>
      <c r="E43" s="417">
        <v>1.1559999999999999</v>
      </c>
      <c r="F43" s="417"/>
      <c r="G43" s="417">
        <v>0.84299999999999997</v>
      </c>
      <c r="H43" s="93"/>
      <c r="I43" s="44">
        <f t="shared" si="1"/>
        <v>0.72923875432525953</v>
      </c>
      <c r="J43" s="93"/>
      <c r="K43" s="417">
        <v>1</v>
      </c>
      <c r="L43" s="456"/>
      <c r="M43" s="417">
        <v>0.95599999999999996</v>
      </c>
      <c r="N43" s="456"/>
      <c r="O43" s="417">
        <v>1.0169999999999999</v>
      </c>
      <c r="P43" s="44"/>
      <c r="Q43" s="417" t="s">
        <v>34</v>
      </c>
      <c r="R43" s="93"/>
      <c r="S43" s="44">
        <f>(C43*I43*K43)/(M43*O43)</f>
        <v>0.85011312821526386</v>
      </c>
      <c r="T43" s="94"/>
      <c r="V43" s="70"/>
    </row>
    <row r="44" spans="1:22" s="375" customFormat="1" ht="16.149999999999999" customHeight="1">
      <c r="A44" s="377">
        <v>2018</v>
      </c>
      <c r="B44" s="93"/>
      <c r="C44" s="44">
        <f>'Exhibit 5.1'!E37</f>
        <v>1.0950790684733955</v>
      </c>
      <c r="D44" s="93"/>
      <c r="E44" s="417">
        <v>1.1950000000000001</v>
      </c>
      <c r="F44" s="417"/>
      <c r="G44" s="417">
        <v>0.95499999999999996</v>
      </c>
      <c r="H44" s="93"/>
      <c r="I44" s="44">
        <f>+G44/E44</f>
        <v>0.79916317991631791</v>
      </c>
      <c r="J44" s="93"/>
      <c r="K44" s="417">
        <v>1</v>
      </c>
      <c r="L44" s="456"/>
      <c r="M44" s="417">
        <v>0.95799999999999996</v>
      </c>
      <c r="N44" s="456"/>
      <c r="O44" s="417">
        <v>1.0169999999999999</v>
      </c>
      <c r="P44" s="44"/>
      <c r="Q44" s="417" t="s">
        <v>34</v>
      </c>
      <c r="R44" s="93"/>
      <c r="S44" s="44">
        <f>(C44*I44*K44)/(M44*O44)</f>
        <v>0.89824432519916964</v>
      </c>
      <c r="T44" s="94"/>
      <c r="V44" s="70"/>
    </row>
    <row r="45" spans="1:22" ht="16.149999999999999" customHeight="1">
      <c r="A45" s="274"/>
      <c r="B45" s="274"/>
      <c r="C45" s="45"/>
      <c r="D45" s="45"/>
      <c r="E45" s="45"/>
      <c r="F45" s="45"/>
      <c r="G45" s="45"/>
      <c r="H45" s="45"/>
      <c r="I45" s="58"/>
      <c r="J45" s="45"/>
      <c r="K45" s="45"/>
      <c r="L45" s="45"/>
      <c r="M45" s="45"/>
      <c r="N45" s="45"/>
      <c r="O45" s="45"/>
      <c r="P45" s="45"/>
      <c r="Q45" s="45"/>
      <c r="R45" s="45"/>
      <c r="S45" s="45"/>
    </row>
    <row r="46" spans="1:22" ht="16.149999999999999" customHeight="1">
      <c r="A46" s="45" t="s">
        <v>22</v>
      </c>
      <c r="B46" s="67" t="s">
        <v>178</v>
      </c>
      <c r="C46" s="274"/>
      <c r="D46" s="274"/>
      <c r="E46" s="274"/>
      <c r="F46" s="274"/>
      <c r="G46" s="274"/>
      <c r="H46" s="274"/>
      <c r="I46" s="55"/>
      <c r="J46" s="274"/>
      <c r="K46" s="274"/>
      <c r="L46" s="274"/>
      <c r="M46" s="274"/>
      <c r="N46" s="274"/>
      <c r="O46" s="274"/>
      <c r="P46" s="274"/>
      <c r="Q46" s="274"/>
      <c r="R46" s="274"/>
      <c r="S46" s="274"/>
    </row>
    <row r="47" spans="1:22" ht="16.149999999999999" customHeight="1">
      <c r="A47" s="45" t="s">
        <v>28</v>
      </c>
      <c r="B47" s="552" t="s">
        <v>179</v>
      </c>
      <c r="C47" s="552"/>
      <c r="D47" s="552"/>
      <c r="E47" s="552"/>
      <c r="F47" s="552"/>
      <c r="G47" s="552"/>
      <c r="H47" s="552"/>
      <c r="I47" s="552"/>
      <c r="J47" s="552"/>
      <c r="K47" s="552"/>
      <c r="L47" s="552"/>
      <c r="M47" s="552"/>
      <c r="N47" s="552"/>
      <c r="O47" s="552"/>
      <c r="P47" s="552"/>
      <c r="Q47" s="552"/>
      <c r="R47" s="552"/>
      <c r="S47" s="552"/>
    </row>
    <row r="48" spans="1:22" ht="16.149999999999999" customHeight="1">
      <c r="A48" s="45"/>
      <c r="B48" s="552" t="s">
        <v>180</v>
      </c>
      <c r="C48" s="552"/>
      <c r="D48" s="552"/>
      <c r="E48" s="552"/>
      <c r="F48" s="552"/>
      <c r="G48" s="552"/>
      <c r="H48" s="552"/>
      <c r="I48" s="552"/>
      <c r="J48" s="552"/>
      <c r="K48" s="552"/>
      <c r="L48" s="552"/>
      <c r="M48" s="552"/>
      <c r="N48" s="552"/>
      <c r="O48" s="552"/>
      <c r="P48" s="552"/>
      <c r="Q48" s="552"/>
      <c r="R48" s="552"/>
      <c r="S48" s="552"/>
    </row>
    <row r="49" spans="1:19" ht="16.149999999999999" customHeight="1">
      <c r="A49" s="45" t="s">
        <v>40</v>
      </c>
      <c r="B49" s="578" t="s">
        <v>501</v>
      </c>
      <c r="C49" s="578"/>
      <c r="D49" s="578"/>
      <c r="E49" s="578"/>
      <c r="F49" s="578"/>
      <c r="G49" s="578"/>
      <c r="H49" s="578"/>
      <c r="I49" s="578"/>
      <c r="J49" s="578"/>
      <c r="K49" s="578"/>
      <c r="L49" s="578"/>
      <c r="M49" s="578"/>
      <c r="N49" s="578"/>
      <c r="O49" s="578"/>
      <c r="P49" s="578"/>
      <c r="Q49" s="578"/>
      <c r="R49" s="578"/>
      <c r="S49" s="578"/>
    </row>
    <row r="50" spans="1:19" ht="16.149999999999999" customHeight="1">
      <c r="A50" s="45"/>
      <c r="B50" s="95" t="s">
        <v>544</v>
      </c>
      <c r="C50" s="278"/>
      <c r="D50" s="278"/>
      <c r="E50" s="278"/>
      <c r="F50" s="278"/>
      <c r="G50" s="278"/>
      <c r="H50" s="278"/>
      <c r="I50" s="278"/>
      <c r="J50" s="278"/>
      <c r="K50" s="278"/>
      <c r="L50" s="278"/>
      <c r="M50" s="278"/>
      <c r="N50" s="278"/>
      <c r="O50" s="278"/>
      <c r="P50" s="278"/>
      <c r="Q50" s="278"/>
      <c r="R50" s="278"/>
      <c r="S50" s="278"/>
    </row>
    <row r="51" spans="1:19" ht="16.149999999999999" customHeight="1">
      <c r="A51" s="45"/>
      <c r="B51" s="578" t="s">
        <v>502</v>
      </c>
      <c r="C51" s="578"/>
      <c r="D51" s="578"/>
      <c r="E51" s="578"/>
      <c r="F51" s="578"/>
      <c r="G51" s="578"/>
      <c r="H51" s="578"/>
      <c r="I51" s="578"/>
      <c r="J51" s="578"/>
      <c r="K51" s="578"/>
      <c r="L51" s="578"/>
      <c r="M51" s="578"/>
      <c r="N51" s="578"/>
      <c r="O51" s="578"/>
      <c r="P51" s="578"/>
      <c r="Q51" s="578"/>
      <c r="R51" s="578"/>
      <c r="S51" s="578"/>
    </row>
    <row r="52" spans="1:19" ht="16.149999999999999" customHeight="1">
      <c r="A52" s="45" t="s">
        <v>66</v>
      </c>
      <c r="B52" s="65" t="s">
        <v>181</v>
      </c>
      <c r="C52" s="274"/>
      <c r="D52" s="274"/>
      <c r="E52" s="274"/>
      <c r="F52" s="274"/>
      <c r="G52" s="274"/>
      <c r="H52" s="274"/>
      <c r="I52" s="55"/>
      <c r="J52" s="274"/>
      <c r="K52" s="274"/>
      <c r="L52" s="274"/>
      <c r="M52" s="274"/>
      <c r="N52" s="274"/>
      <c r="O52" s="274"/>
      <c r="P52" s="274"/>
      <c r="Q52" s="274"/>
      <c r="R52" s="274"/>
      <c r="S52" s="274"/>
    </row>
    <row r="53" spans="1:19" ht="16.149999999999999" customHeight="1">
      <c r="A53" s="45"/>
      <c r="B53" s="65" t="s">
        <v>503</v>
      </c>
      <c r="C53" s="274"/>
      <c r="D53" s="274"/>
      <c r="E53" s="274"/>
      <c r="F53" s="274"/>
      <c r="G53" s="274"/>
      <c r="H53" s="274"/>
      <c r="I53" s="55"/>
      <c r="J53" s="274"/>
      <c r="K53" s="274"/>
      <c r="L53" s="274"/>
      <c r="M53" s="274"/>
      <c r="N53" s="274"/>
      <c r="O53" s="274"/>
      <c r="P53" s="274"/>
      <c r="Q53" s="274"/>
      <c r="R53" s="274"/>
      <c r="S53" s="274"/>
    </row>
    <row r="54" spans="1:19" ht="16.149999999999999" customHeight="1">
      <c r="A54" s="45" t="s">
        <v>43</v>
      </c>
      <c r="B54" s="65" t="s">
        <v>182</v>
      </c>
      <c r="C54" s="274"/>
      <c r="D54" s="274"/>
      <c r="E54" s="274"/>
      <c r="F54" s="274"/>
      <c r="G54" s="274"/>
      <c r="H54" s="274"/>
      <c r="I54" s="55"/>
      <c r="J54" s="274"/>
      <c r="K54" s="274"/>
      <c r="L54" s="274"/>
      <c r="M54" s="274"/>
      <c r="N54" s="274"/>
      <c r="O54" s="274"/>
      <c r="P54" s="274"/>
      <c r="Q54" s="274"/>
      <c r="R54" s="274"/>
      <c r="S54" s="274"/>
    </row>
    <row r="55" spans="1:19" ht="16.149999999999999" customHeight="1">
      <c r="A55" s="45" t="s">
        <v>85</v>
      </c>
      <c r="B55" s="553" t="s">
        <v>183</v>
      </c>
      <c r="C55" s="553"/>
      <c r="D55" s="553"/>
      <c r="E55" s="553"/>
      <c r="F55" s="553"/>
      <c r="G55" s="553"/>
      <c r="H55" s="553"/>
      <c r="I55" s="553"/>
      <c r="J55" s="553"/>
      <c r="K55" s="553"/>
      <c r="L55" s="553"/>
      <c r="M55" s="553"/>
      <c r="N55" s="553"/>
      <c r="O55" s="553"/>
      <c r="P55" s="553"/>
      <c r="Q55" s="553"/>
      <c r="R55" s="553"/>
      <c r="S55" s="553"/>
    </row>
    <row r="56" spans="1:19" ht="16.149999999999999" customHeight="1">
      <c r="A56" s="45"/>
      <c r="B56" s="553" t="s">
        <v>184</v>
      </c>
      <c r="C56" s="553"/>
      <c r="D56" s="553"/>
      <c r="E56" s="553"/>
      <c r="F56" s="553"/>
      <c r="G56" s="553"/>
      <c r="H56" s="553"/>
      <c r="I56" s="553"/>
      <c r="J56" s="553"/>
      <c r="K56" s="553"/>
      <c r="L56" s="553"/>
      <c r="M56" s="553"/>
      <c r="N56" s="553"/>
      <c r="O56" s="553"/>
      <c r="P56" s="553"/>
      <c r="Q56" s="553"/>
      <c r="R56" s="271"/>
      <c r="S56" s="271"/>
    </row>
    <row r="57" spans="1:19" ht="16.149999999999999" customHeight="1">
      <c r="A57" s="45" t="s">
        <v>185</v>
      </c>
      <c r="B57" s="65" t="s">
        <v>186</v>
      </c>
      <c r="C57" s="274"/>
      <c r="D57" s="274"/>
      <c r="E57" s="274"/>
      <c r="F57" s="274"/>
      <c r="G57" s="274"/>
      <c r="H57" s="274"/>
      <c r="I57" s="55"/>
      <c r="J57" s="274"/>
      <c r="K57" s="274"/>
      <c r="L57" s="274"/>
      <c r="M57" s="274"/>
      <c r="N57" s="274"/>
      <c r="O57" s="274"/>
      <c r="P57" s="274"/>
      <c r="Q57" s="274"/>
      <c r="R57" s="274"/>
      <c r="S57" s="274"/>
    </row>
    <row r="58" spans="1:19" ht="16.149999999999999" customHeight="1">
      <c r="A58" s="274"/>
      <c r="B58" s="65" t="s">
        <v>187</v>
      </c>
      <c r="C58" s="274"/>
      <c r="D58" s="274"/>
      <c r="E58" s="274"/>
      <c r="F58" s="274"/>
      <c r="G58" s="274"/>
      <c r="H58" s="274"/>
      <c r="I58" s="55"/>
      <c r="J58" s="274"/>
      <c r="K58" s="274"/>
      <c r="L58" s="274"/>
      <c r="M58" s="274"/>
      <c r="N58" s="274"/>
      <c r="O58" s="274"/>
      <c r="P58" s="274"/>
      <c r="Q58" s="274"/>
      <c r="R58" s="274"/>
      <c r="S58" s="274"/>
    </row>
    <row r="59" spans="1:19" ht="16.149999999999999" customHeight="1">
      <c r="A59" s="274"/>
      <c r="B59" s="65" t="s">
        <v>188</v>
      </c>
      <c r="C59" s="274"/>
      <c r="D59" s="274"/>
      <c r="E59" s="274"/>
      <c r="F59" s="274"/>
      <c r="G59" s="274"/>
      <c r="H59" s="274"/>
      <c r="I59" s="55"/>
      <c r="J59" s="274"/>
      <c r="K59" s="274"/>
      <c r="L59" s="274"/>
      <c r="M59" s="274"/>
      <c r="N59" s="274"/>
      <c r="O59" s="274"/>
      <c r="P59" s="274"/>
      <c r="Q59" s="274"/>
      <c r="R59" s="274"/>
      <c r="S59" s="274"/>
    </row>
    <row r="60" spans="1:19" ht="16.149999999999999" customHeight="1">
      <c r="A60" s="45" t="s">
        <v>189</v>
      </c>
      <c r="B60" s="65" t="s">
        <v>190</v>
      </c>
      <c r="C60" s="274"/>
      <c r="D60" s="274"/>
      <c r="E60" s="274"/>
      <c r="F60" s="274"/>
      <c r="G60" s="274"/>
      <c r="H60" s="274"/>
      <c r="I60" s="55"/>
      <c r="J60" s="274"/>
      <c r="K60" s="274"/>
      <c r="L60" s="274"/>
      <c r="M60" s="274"/>
      <c r="N60" s="274"/>
      <c r="O60" s="274"/>
      <c r="P60" s="274"/>
      <c r="Q60" s="274"/>
      <c r="R60" s="274"/>
      <c r="S60" s="274"/>
    </row>
  </sheetData>
  <mergeCells count="7">
    <mergeCell ref="B55:S55"/>
    <mergeCell ref="B56:Q56"/>
    <mergeCell ref="A1:S1"/>
    <mergeCell ref="B47:S47"/>
    <mergeCell ref="B48:S48"/>
    <mergeCell ref="B49:S49"/>
    <mergeCell ref="B51:S51"/>
  </mergeCells>
  <printOptions horizontalCentered="1"/>
  <pageMargins left="0.7" right="0.7" top="0.75" bottom="0.75" header="0.3" footer="0.3"/>
  <pageSetup scale="67" orientation="portrait" horizontalDpi="1200" verticalDpi="120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J91"/>
  <sheetViews>
    <sheetView zoomScaleNormal="100" zoomScaleSheetLayoutView="85" workbookViewId="0"/>
  </sheetViews>
  <sheetFormatPr defaultColWidth="9.140625" defaultRowHeight="12.75"/>
  <cols>
    <col min="1" max="1" width="9.42578125" style="270" customWidth="1"/>
    <col min="2" max="9" width="18.28515625" style="270" customWidth="1"/>
    <col min="10" max="16384" width="9.140625" style="136"/>
  </cols>
  <sheetData>
    <row r="1" spans="1:10" ht="15.75">
      <c r="A1" s="298" t="s">
        <v>397</v>
      </c>
      <c r="B1" s="299"/>
      <c r="C1" s="299"/>
      <c r="D1" s="299"/>
      <c r="E1" s="299"/>
      <c r="F1" s="299"/>
      <c r="G1" s="299"/>
      <c r="H1" s="299"/>
      <c r="I1" s="299"/>
      <c r="J1" s="233"/>
    </row>
    <row r="2" spans="1:10" ht="15.75">
      <c r="A2" s="298" t="s">
        <v>407</v>
      </c>
      <c r="B2" s="299"/>
      <c r="C2" s="299"/>
      <c r="D2" s="299"/>
      <c r="E2" s="299"/>
      <c r="F2" s="299"/>
      <c r="G2" s="299"/>
      <c r="H2" s="299"/>
      <c r="I2" s="299"/>
      <c r="J2" s="233"/>
    </row>
    <row r="3" spans="1:10" ht="15">
      <c r="A3" s="298"/>
      <c r="B3" s="300"/>
      <c r="C3" s="300"/>
      <c r="D3" s="300"/>
      <c r="E3" s="300"/>
      <c r="F3" s="300"/>
      <c r="G3" s="300"/>
      <c r="H3" s="300"/>
      <c r="I3" s="300"/>
      <c r="J3" s="233"/>
    </row>
    <row r="4" spans="1:10" ht="15">
      <c r="A4" s="301"/>
      <c r="B4" s="300" t="s">
        <v>191</v>
      </c>
      <c r="C4" s="300" t="s">
        <v>192</v>
      </c>
      <c r="D4" s="300"/>
      <c r="E4" s="300"/>
      <c r="F4" s="300"/>
      <c r="G4" s="298"/>
      <c r="H4" s="300"/>
      <c r="I4" s="300"/>
      <c r="J4" s="233"/>
    </row>
    <row r="5" spans="1:10" ht="15">
      <c r="A5" s="301"/>
      <c r="B5" s="300" t="s">
        <v>193</v>
      </c>
      <c r="C5" s="302" t="s">
        <v>194</v>
      </c>
      <c r="D5" s="302"/>
      <c r="E5" s="302"/>
      <c r="F5" s="303" t="s">
        <v>195</v>
      </c>
      <c r="G5" s="303"/>
      <c r="H5" s="303" t="s">
        <v>196</v>
      </c>
      <c r="I5" s="303" t="s">
        <v>197</v>
      </c>
      <c r="J5" s="233"/>
    </row>
    <row r="6" spans="1:10" ht="15">
      <c r="A6" s="301"/>
      <c r="B6" s="300" t="s">
        <v>198</v>
      </c>
      <c r="C6" s="300" t="s">
        <v>408</v>
      </c>
      <c r="D6" s="300"/>
      <c r="E6" s="300"/>
      <c r="F6" s="304" t="s">
        <v>3</v>
      </c>
      <c r="G6" s="304" t="s">
        <v>21</v>
      </c>
      <c r="H6" s="304" t="s">
        <v>199</v>
      </c>
      <c r="I6" s="304" t="s">
        <v>200</v>
      </c>
      <c r="J6" s="233"/>
    </row>
    <row r="7" spans="1:10" ht="15">
      <c r="A7" s="305" t="s">
        <v>201</v>
      </c>
      <c r="B7" s="306" t="s">
        <v>128</v>
      </c>
      <c r="C7" s="306" t="s">
        <v>128</v>
      </c>
      <c r="D7" s="306" t="s">
        <v>21</v>
      </c>
      <c r="E7" s="306" t="s">
        <v>202</v>
      </c>
      <c r="F7" s="305" t="s">
        <v>203</v>
      </c>
      <c r="G7" s="305" t="s">
        <v>204</v>
      </c>
      <c r="H7" s="307" t="s">
        <v>205</v>
      </c>
      <c r="I7" s="305" t="s">
        <v>206</v>
      </c>
      <c r="J7" s="233"/>
    </row>
    <row r="8" spans="1:10" ht="15">
      <c r="A8" s="308">
        <v>1962</v>
      </c>
      <c r="B8" s="458" t="s">
        <v>269</v>
      </c>
      <c r="C8" s="459" t="s">
        <v>269</v>
      </c>
      <c r="D8" s="441" t="s">
        <v>269</v>
      </c>
      <c r="E8" s="441" t="s">
        <v>269</v>
      </c>
      <c r="F8" s="459" t="s">
        <v>269</v>
      </c>
      <c r="G8" s="441" t="s">
        <v>269</v>
      </c>
      <c r="H8" s="441" t="s">
        <v>269</v>
      </c>
      <c r="I8" s="441" t="s">
        <v>269</v>
      </c>
      <c r="J8" s="233"/>
    </row>
    <row r="9" spans="1:10" ht="15">
      <c r="A9" s="304">
        <v>1963</v>
      </c>
      <c r="B9" s="460">
        <v>2.0085144107506947E-2</v>
      </c>
      <c r="C9" s="461">
        <v>1.9886098427570782E-2</v>
      </c>
      <c r="D9" s="417" t="s">
        <v>269</v>
      </c>
      <c r="E9" s="417" t="s">
        <v>269</v>
      </c>
      <c r="F9" s="461">
        <v>0</v>
      </c>
      <c r="G9" s="417" t="s">
        <v>269</v>
      </c>
      <c r="H9" s="461">
        <v>-2.8833620802260491E-2</v>
      </c>
      <c r="I9" s="461">
        <v>0</v>
      </c>
      <c r="J9" s="233"/>
    </row>
    <row r="10" spans="1:10" ht="15">
      <c r="A10" s="304">
        <v>1964</v>
      </c>
      <c r="B10" s="460">
        <v>2.5731332173286603E-3</v>
      </c>
      <c r="C10" s="461">
        <v>2.5698283780321474E-3</v>
      </c>
      <c r="D10" s="417" t="s">
        <v>269</v>
      </c>
      <c r="E10" s="417" t="s">
        <v>269</v>
      </c>
      <c r="F10" s="461">
        <v>0</v>
      </c>
      <c r="G10" s="417" t="s">
        <v>269</v>
      </c>
      <c r="H10" s="461">
        <v>4.1366223098266474E-3</v>
      </c>
      <c r="I10" s="461">
        <v>0</v>
      </c>
      <c r="J10" s="233"/>
    </row>
    <row r="11" spans="1:10" ht="15">
      <c r="A11" s="304">
        <v>1965</v>
      </c>
      <c r="B11" s="460">
        <v>-3.3913130388393276E-3</v>
      </c>
      <c r="C11" s="461">
        <v>-3.3970765752296917E-3</v>
      </c>
      <c r="D11" s="417" t="s">
        <v>269</v>
      </c>
      <c r="E11" s="417" t="s">
        <v>269</v>
      </c>
      <c r="F11" s="461">
        <v>0</v>
      </c>
      <c r="G11" s="417" t="s">
        <v>269</v>
      </c>
      <c r="H11" s="461">
        <v>2.0304559091713633E-2</v>
      </c>
      <c r="I11" s="461">
        <v>0</v>
      </c>
      <c r="J11" s="233"/>
    </row>
    <row r="12" spans="1:10" ht="15">
      <c r="A12" s="304">
        <v>1966</v>
      </c>
      <c r="B12" s="460">
        <v>1.7277911576537353E-2</v>
      </c>
      <c r="C12" s="461">
        <v>1.7130345789681176E-2</v>
      </c>
      <c r="D12" s="417" t="s">
        <v>269</v>
      </c>
      <c r="E12" s="417" t="s">
        <v>269</v>
      </c>
      <c r="F12" s="461">
        <v>0</v>
      </c>
      <c r="G12" s="417" t="s">
        <v>269</v>
      </c>
      <c r="H12" s="461">
        <v>0.1911989097703822</v>
      </c>
      <c r="I12" s="461">
        <v>0</v>
      </c>
      <c r="J12" s="233"/>
    </row>
    <row r="13" spans="1:10" ht="15">
      <c r="A13" s="304">
        <v>1967</v>
      </c>
      <c r="B13" s="460">
        <v>1.7622453589545506E-2</v>
      </c>
      <c r="C13" s="461">
        <v>1.7468978601585441E-2</v>
      </c>
      <c r="D13" s="417" t="s">
        <v>269</v>
      </c>
      <c r="E13" s="417" t="s">
        <v>269</v>
      </c>
      <c r="F13" s="461">
        <v>0</v>
      </c>
      <c r="G13" s="417" t="s">
        <v>269</v>
      </c>
      <c r="H13" s="461">
        <v>-0.14603329269603893</v>
      </c>
      <c r="I13" s="461">
        <v>0</v>
      </c>
      <c r="J13" s="233"/>
    </row>
    <row r="14" spans="1:10" ht="15">
      <c r="A14" s="304">
        <v>1968</v>
      </c>
      <c r="B14" s="460">
        <v>1.4403650077146724E-2</v>
      </c>
      <c r="C14" s="461">
        <v>1.430090295652215E-2</v>
      </c>
      <c r="D14" s="417" t="s">
        <v>269</v>
      </c>
      <c r="E14" s="417" t="s">
        <v>269</v>
      </c>
      <c r="F14" s="461">
        <v>4.8747599691602188E-2</v>
      </c>
      <c r="G14" s="417" t="s">
        <v>269</v>
      </c>
      <c r="H14" s="461">
        <v>5.9125479247437426E-2</v>
      </c>
      <c r="I14" s="461">
        <v>0</v>
      </c>
      <c r="J14" s="233"/>
    </row>
    <row r="15" spans="1:10" ht="15">
      <c r="A15" s="304">
        <v>1969</v>
      </c>
      <c r="B15" s="460">
        <v>2.6735627484181013E-2</v>
      </c>
      <c r="C15" s="461">
        <v>2.6384475689044035E-2</v>
      </c>
      <c r="D15" s="417" t="s">
        <v>269</v>
      </c>
      <c r="E15" s="417" t="s">
        <v>269</v>
      </c>
      <c r="F15" s="461">
        <v>0</v>
      </c>
      <c r="G15" s="417" t="s">
        <v>269</v>
      </c>
      <c r="H15" s="461">
        <v>4.3475888483388077E-2</v>
      </c>
      <c r="I15" s="461">
        <v>0</v>
      </c>
      <c r="J15" s="233"/>
    </row>
    <row r="16" spans="1:10" ht="15">
      <c r="A16" s="304">
        <v>1970</v>
      </c>
      <c r="B16" s="460">
        <v>1.8316159393636511E-2</v>
      </c>
      <c r="C16" s="461">
        <v>1.8150439060670976E-2</v>
      </c>
      <c r="D16" s="417" t="s">
        <v>269</v>
      </c>
      <c r="E16" s="417" t="s">
        <v>269</v>
      </c>
      <c r="F16" s="461">
        <v>0</v>
      </c>
      <c r="G16" s="417" t="s">
        <v>269</v>
      </c>
      <c r="H16" s="461">
        <v>-0.33688684374470007</v>
      </c>
      <c r="I16" s="461">
        <v>0</v>
      </c>
      <c r="J16" s="233"/>
    </row>
    <row r="17" spans="1:10" ht="15">
      <c r="A17" s="304">
        <v>1971</v>
      </c>
      <c r="B17" s="460">
        <v>1.4681258067087866E-2</v>
      </c>
      <c r="C17" s="461">
        <v>1.4574531714548981E-2</v>
      </c>
      <c r="D17" s="417" t="s">
        <v>269</v>
      </c>
      <c r="E17" s="417" t="s">
        <v>269</v>
      </c>
      <c r="F17" s="461">
        <v>0.16217581745681928</v>
      </c>
      <c r="G17" s="417" t="s">
        <v>269</v>
      </c>
      <c r="H17" s="461">
        <v>-0.18564919746529804</v>
      </c>
      <c r="I17" s="461">
        <v>0</v>
      </c>
      <c r="J17" s="233"/>
    </row>
    <row r="18" spans="1:10" ht="15">
      <c r="A18" s="304">
        <v>1972</v>
      </c>
      <c r="B18" s="460">
        <v>-4.3058888328850298E-2</v>
      </c>
      <c r="C18" s="461">
        <v>-4.4013423726414543E-2</v>
      </c>
      <c r="D18" s="417" t="s">
        <v>269</v>
      </c>
      <c r="E18" s="417" t="s">
        <v>269</v>
      </c>
      <c r="F18" s="461">
        <v>3.9910548148499189E-2</v>
      </c>
      <c r="G18" s="417" t="s">
        <v>269</v>
      </c>
      <c r="H18" s="461">
        <v>0.16126532478609085</v>
      </c>
      <c r="I18" s="461">
        <v>0</v>
      </c>
      <c r="J18" s="233"/>
    </row>
    <row r="19" spans="1:10" ht="15">
      <c r="A19" s="304">
        <v>1973</v>
      </c>
      <c r="B19" s="460">
        <v>6.9805792129303823E-2</v>
      </c>
      <c r="C19" s="461">
        <v>6.7477129317315865E-2</v>
      </c>
      <c r="D19" s="417" t="s">
        <v>269</v>
      </c>
      <c r="E19" s="417" t="s">
        <v>269</v>
      </c>
      <c r="F19" s="461">
        <v>4.9240573137582191E-2</v>
      </c>
      <c r="G19" s="417" t="s">
        <v>269</v>
      </c>
      <c r="H19" s="461">
        <v>9.0280037607725128E-2</v>
      </c>
      <c r="I19" s="461">
        <v>0</v>
      </c>
      <c r="J19" s="233"/>
    </row>
    <row r="20" spans="1:10" ht="15">
      <c r="A20" s="304">
        <v>1974</v>
      </c>
      <c r="B20" s="460">
        <v>0.1921658064261158</v>
      </c>
      <c r="C20" s="461">
        <v>0.17577165832050864</v>
      </c>
      <c r="D20" s="417" t="s">
        <v>269</v>
      </c>
      <c r="E20" s="417" t="s">
        <v>269</v>
      </c>
      <c r="F20" s="461">
        <v>5.7889442467741081E-2</v>
      </c>
      <c r="G20" s="417" t="s">
        <v>269</v>
      </c>
      <c r="H20" s="461">
        <v>-3.5039921917377127E-2</v>
      </c>
      <c r="I20" s="461">
        <v>0</v>
      </c>
      <c r="J20" s="233"/>
    </row>
    <row r="21" spans="1:10" ht="15">
      <c r="A21" s="304">
        <v>1975</v>
      </c>
      <c r="B21" s="460">
        <v>0.12510358603934679</v>
      </c>
      <c r="C21" s="461">
        <v>0.11787510789702399</v>
      </c>
      <c r="D21" s="417" t="s">
        <v>269</v>
      </c>
      <c r="E21" s="417" t="s">
        <v>269</v>
      </c>
      <c r="F21" s="461">
        <v>0</v>
      </c>
      <c r="G21" s="417" t="s">
        <v>269</v>
      </c>
      <c r="H21" s="461">
        <v>-0.2998846257288359</v>
      </c>
      <c r="I21" s="461">
        <v>0</v>
      </c>
      <c r="J21" s="233"/>
    </row>
    <row r="22" spans="1:10" ht="15">
      <c r="A22" s="304">
        <v>1976</v>
      </c>
      <c r="B22" s="460">
        <v>8.1326241119443754E-3</v>
      </c>
      <c r="C22" s="461">
        <v>8.0997325340283494E-3</v>
      </c>
      <c r="D22" s="417" t="s">
        <v>269</v>
      </c>
      <c r="E22" s="417" t="s">
        <v>269</v>
      </c>
      <c r="F22" s="461">
        <v>6.2891569463582472E-2</v>
      </c>
      <c r="G22" s="417" t="s">
        <v>269</v>
      </c>
      <c r="H22" s="461">
        <v>8.5084514538139464E-2</v>
      </c>
      <c r="I22" s="461">
        <v>0</v>
      </c>
      <c r="J22" s="233"/>
    </row>
    <row r="23" spans="1:10" ht="15">
      <c r="A23" s="304">
        <v>1977</v>
      </c>
      <c r="B23" s="460">
        <v>4.2740889003402227E-2</v>
      </c>
      <c r="C23" s="461">
        <v>4.1852716586980358E-2</v>
      </c>
      <c r="D23" s="417" t="s">
        <v>269</v>
      </c>
      <c r="E23" s="417" t="s">
        <v>269</v>
      </c>
      <c r="F23" s="461">
        <v>7.9039975115445678E-4</v>
      </c>
      <c r="G23" s="417" t="s">
        <v>269</v>
      </c>
      <c r="H23" s="461">
        <v>0.11210330807397495</v>
      </c>
      <c r="I23" s="461">
        <v>0</v>
      </c>
      <c r="J23" s="233"/>
    </row>
    <row r="24" spans="1:10" ht="15">
      <c r="A24" s="304">
        <v>1978</v>
      </c>
      <c r="B24" s="460">
        <v>-8.7157487357449992E-2</v>
      </c>
      <c r="C24" s="461">
        <v>-9.119190763344813E-2</v>
      </c>
      <c r="D24" s="417" t="s">
        <v>269</v>
      </c>
      <c r="E24" s="417" t="s">
        <v>269</v>
      </c>
      <c r="F24" s="461">
        <v>0</v>
      </c>
      <c r="G24" s="417" t="s">
        <v>269</v>
      </c>
      <c r="H24" s="461">
        <v>0.17241215575762231</v>
      </c>
      <c r="I24" s="461">
        <v>0</v>
      </c>
      <c r="J24" s="233"/>
    </row>
    <row r="25" spans="1:10" ht="15">
      <c r="A25" s="309">
        <v>1979</v>
      </c>
      <c r="B25" s="462">
        <v>4.996951677645578E-3</v>
      </c>
      <c r="C25" s="463">
        <v>4.9845083498674808E-3</v>
      </c>
      <c r="D25" s="464">
        <v>-5.2639272086864267E-2</v>
      </c>
      <c r="E25" s="464">
        <v>6.9882945083220745E-3</v>
      </c>
      <c r="F25" s="463">
        <v>0</v>
      </c>
      <c r="G25" s="463">
        <v>-5.9627566595186289E-2</v>
      </c>
      <c r="H25" s="463">
        <v>0.13437850074277455</v>
      </c>
      <c r="I25" s="463">
        <v>0</v>
      </c>
      <c r="J25" s="233"/>
    </row>
    <row r="26" spans="1:10" ht="15">
      <c r="A26" s="304">
        <v>1980</v>
      </c>
      <c r="B26" s="460">
        <v>-6.5372010652822832E-2</v>
      </c>
      <c r="C26" s="461">
        <v>-6.7606701221617105E-2</v>
      </c>
      <c r="D26" s="465">
        <v>-0.1319020722861895</v>
      </c>
      <c r="E26" s="465">
        <v>-6.5507381151861804E-2</v>
      </c>
      <c r="F26" s="461">
        <v>3.3258233100083939E-2</v>
      </c>
      <c r="G26" s="461">
        <v>-6.6394691134327818E-2</v>
      </c>
      <c r="H26" s="461">
        <v>-8.0510060375724932E-2</v>
      </c>
      <c r="I26" s="461">
        <v>0</v>
      </c>
      <c r="J26" s="233"/>
    </row>
    <row r="27" spans="1:10" ht="15">
      <c r="A27" s="304">
        <v>1981</v>
      </c>
      <c r="B27" s="460">
        <v>-3.5390032063058907E-2</v>
      </c>
      <c r="C27" s="461">
        <v>-3.6031437648905242E-2</v>
      </c>
      <c r="D27" s="465">
        <v>-2.788134624470244E-2</v>
      </c>
      <c r="E27" s="465">
        <v>-3.628989945688911E-2</v>
      </c>
      <c r="F27" s="461">
        <v>0</v>
      </c>
      <c r="G27" s="461">
        <v>8.4085532121865036E-3</v>
      </c>
      <c r="H27" s="461">
        <v>-7.8869899303631405E-2</v>
      </c>
      <c r="I27" s="461">
        <v>0</v>
      </c>
      <c r="J27" s="233"/>
    </row>
    <row r="28" spans="1:10" ht="15">
      <c r="A28" s="304">
        <v>1982</v>
      </c>
      <c r="B28" s="460">
        <v>-1.5938533526818954E-2</v>
      </c>
      <c r="C28" s="461">
        <v>-1.6066917952768951E-2</v>
      </c>
      <c r="D28" s="465">
        <v>0.15335055943321985</v>
      </c>
      <c r="E28" s="465">
        <v>-2.1963555191119713E-2</v>
      </c>
      <c r="F28" s="461">
        <v>0.35238649210176365</v>
      </c>
      <c r="G28" s="461">
        <v>0.17531411462433988</v>
      </c>
      <c r="H28" s="461">
        <v>-0.29377562186008416</v>
      </c>
      <c r="I28" s="461">
        <v>0</v>
      </c>
      <c r="J28" s="233"/>
    </row>
    <row r="29" spans="1:10" ht="15">
      <c r="A29" s="304">
        <v>1983</v>
      </c>
      <c r="B29" s="460">
        <v>6.2017702093358995E-2</v>
      </c>
      <c r="C29" s="461">
        <v>6.0170591318641387E-2</v>
      </c>
      <c r="D29" s="465">
        <v>0.21351026834009909</v>
      </c>
      <c r="E29" s="465">
        <v>5.3861846189502689E-2</v>
      </c>
      <c r="F29" s="461">
        <v>8.1444237360177044E-2</v>
      </c>
      <c r="G29" s="461">
        <v>0.15964842215059621</v>
      </c>
      <c r="H29" s="461">
        <v>2.8794458046209476E-2</v>
      </c>
      <c r="I29" s="461">
        <v>0</v>
      </c>
      <c r="J29" s="233"/>
    </row>
    <row r="30" spans="1:10" ht="15">
      <c r="A30" s="304">
        <v>1984</v>
      </c>
      <c r="B30" s="460">
        <v>9.526360530520761E-2</v>
      </c>
      <c r="C30" s="461">
        <v>9.0995069734883874E-2</v>
      </c>
      <c r="D30" s="465">
        <v>0.23541049732325797</v>
      </c>
      <c r="E30" s="465">
        <v>8.4054621235545718E-2</v>
      </c>
      <c r="F30" s="461">
        <v>0</v>
      </c>
      <c r="G30" s="461">
        <v>0.15135587608771267</v>
      </c>
      <c r="H30" s="461">
        <v>0.22196453342712347</v>
      </c>
      <c r="I30" s="461">
        <v>0</v>
      </c>
      <c r="J30" s="233"/>
    </row>
    <row r="31" spans="1:10" ht="15">
      <c r="A31" s="304">
        <v>1985</v>
      </c>
      <c r="B31" s="460">
        <v>2.0483778753561444E-2</v>
      </c>
      <c r="C31" s="461">
        <v>2.0276807750504763E-2</v>
      </c>
      <c r="D31" s="465">
        <v>0.13787669517060777</v>
      </c>
      <c r="E31" s="465">
        <v>1.379248066620665E-2</v>
      </c>
      <c r="F31" s="461">
        <v>0</v>
      </c>
      <c r="G31" s="461">
        <v>0.12408421450440074</v>
      </c>
      <c r="H31" s="461">
        <v>8.0553225004314499E-2</v>
      </c>
      <c r="I31" s="461">
        <v>0</v>
      </c>
      <c r="J31" s="233"/>
    </row>
    <row r="32" spans="1:10" ht="15">
      <c r="A32" s="304">
        <v>1986</v>
      </c>
      <c r="B32" s="460">
        <v>-2.3852229652899792E-2</v>
      </c>
      <c r="C32" s="461">
        <v>-2.4141299985320056E-2</v>
      </c>
      <c r="D32" s="465">
        <v>3.8772799763753474E-2</v>
      </c>
      <c r="E32" s="465">
        <v>-2.7956017733357853E-2</v>
      </c>
      <c r="F32" s="461">
        <v>0</v>
      </c>
      <c r="G32" s="461">
        <v>6.6728817497111473E-2</v>
      </c>
      <c r="H32" s="461">
        <v>7.7728887864240981E-2</v>
      </c>
      <c r="I32" s="461">
        <v>0</v>
      </c>
      <c r="J32" s="233"/>
    </row>
    <row r="33" spans="1:10" ht="15">
      <c r="A33" s="304">
        <v>1987</v>
      </c>
      <c r="B33" s="460">
        <v>1.532409107754984E-2</v>
      </c>
      <c r="C33" s="461">
        <v>1.5207863082094385E-2</v>
      </c>
      <c r="D33" s="465">
        <v>5.3485296878037929E-2</v>
      </c>
      <c r="E33" s="465">
        <v>1.2759105237651168E-2</v>
      </c>
      <c r="F33" s="461">
        <v>0</v>
      </c>
      <c r="G33" s="461">
        <v>4.0726191640387086E-2</v>
      </c>
      <c r="H33" s="461">
        <v>0.15088213219820809</v>
      </c>
      <c r="I33" s="461">
        <v>0</v>
      </c>
      <c r="J33" s="233"/>
    </row>
    <row r="34" spans="1:10" ht="15">
      <c r="A34" s="304">
        <v>1988</v>
      </c>
      <c r="B34" s="460">
        <v>6.9455187248026462E-3</v>
      </c>
      <c r="C34" s="461">
        <v>6.9215097155328198E-3</v>
      </c>
      <c r="D34" s="465">
        <v>0.1041416184721011</v>
      </c>
      <c r="E34" s="465">
        <v>2.332993934200213E-4</v>
      </c>
      <c r="F34" s="461">
        <v>0</v>
      </c>
      <c r="G34" s="461">
        <v>0.10390831907868069</v>
      </c>
      <c r="H34" s="461">
        <v>8.8398070234397289E-2</v>
      </c>
      <c r="I34" s="461">
        <v>0</v>
      </c>
      <c r="J34" s="233"/>
    </row>
    <row r="35" spans="1:10" ht="15">
      <c r="A35" s="304">
        <v>1989</v>
      </c>
      <c r="B35" s="460">
        <v>2.4723678176935548E-2</v>
      </c>
      <c r="C35" s="461">
        <v>2.4422993980136063E-2</v>
      </c>
      <c r="D35" s="465">
        <v>0.21198029010894862</v>
      </c>
      <c r="E35" s="465">
        <v>9.3669743793905746E-3</v>
      </c>
      <c r="F35" s="461">
        <v>4.6028738573505555E-2</v>
      </c>
      <c r="G35" s="461">
        <v>0.2026133157295579</v>
      </c>
      <c r="H35" s="461">
        <v>4.4786650285309954E-2</v>
      </c>
      <c r="I35" s="461">
        <v>0</v>
      </c>
      <c r="J35" s="233"/>
    </row>
    <row r="36" spans="1:10" ht="15">
      <c r="A36" s="304">
        <v>1990</v>
      </c>
      <c r="B36" s="460">
        <v>9.0431739543243017E-2</v>
      </c>
      <c r="C36" s="461">
        <v>8.6573709141667871E-2</v>
      </c>
      <c r="D36" s="465">
        <v>0.33726703179095874</v>
      </c>
      <c r="E36" s="465">
        <v>6.0975811134139947E-2</v>
      </c>
      <c r="F36" s="461">
        <v>7.0942886375604683E-2</v>
      </c>
      <c r="G36" s="461">
        <v>0.27629122065681905</v>
      </c>
      <c r="H36" s="461">
        <v>-0.12089100142147614</v>
      </c>
      <c r="I36" s="461">
        <v>0</v>
      </c>
      <c r="J36" s="233"/>
    </row>
    <row r="37" spans="1:10" ht="15">
      <c r="A37" s="304">
        <v>1991</v>
      </c>
      <c r="B37" s="460">
        <v>2.8095177145757155E-3</v>
      </c>
      <c r="C37" s="461">
        <v>2.8055783963461317E-3</v>
      </c>
      <c r="D37" s="465">
        <v>0.16630586980360007</v>
      </c>
      <c r="E37" s="465">
        <v>-1.8183245384130107E-2</v>
      </c>
      <c r="F37" s="461">
        <v>2.340777541294272E-2</v>
      </c>
      <c r="G37" s="461">
        <v>0.18448911518773031</v>
      </c>
      <c r="H37" s="461">
        <v>-0.29297620853996137</v>
      </c>
      <c r="I37" s="461">
        <v>0</v>
      </c>
      <c r="J37" s="233"/>
    </row>
    <row r="38" spans="1:10" ht="15">
      <c r="A38" s="304">
        <v>1992</v>
      </c>
      <c r="B38" s="460">
        <v>-0.1108620808154035</v>
      </c>
      <c r="C38" s="461">
        <v>-0.11750291581093991</v>
      </c>
      <c r="D38" s="465">
        <v>-0.27176512011861054</v>
      </c>
      <c r="E38" s="465">
        <v>-9.7599912420887322E-2</v>
      </c>
      <c r="F38" s="461">
        <v>1.3154751304001039E-2</v>
      </c>
      <c r="G38" s="461">
        <v>-0.17416520769772342</v>
      </c>
      <c r="H38" s="461">
        <v>-0.1863856126868553</v>
      </c>
      <c r="I38" s="461">
        <v>6.7511000000000002E-2</v>
      </c>
      <c r="J38" s="233"/>
    </row>
    <row r="39" spans="1:10" ht="15">
      <c r="A39" s="304">
        <v>1993</v>
      </c>
      <c r="B39" s="460">
        <v>-0.14914649482656239</v>
      </c>
      <c r="C39" s="461">
        <v>-0.1615153095593348</v>
      </c>
      <c r="D39" s="465">
        <v>-0.24038164723996919</v>
      </c>
      <c r="E39" s="465">
        <v>-0.15259548150007832</v>
      </c>
      <c r="F39" s="461">
        <v>-5.6706294133613756E-2</v>
      </c>
      <c r="G39" s="461">
        <v>-8.7786165739890787E-2</v>
      </c>
      <c r="H39" s="461">
        <v>-2.193457476523121E-2</v>
      </c>
      <c r="I39" s="461">
        <v>0.46447899999999998</v>
      </c>
      <c r="J39" s="233"/>
    </row>
    <row r="40" spans="1:10" ht="15">
      <c r="A40" s="304">
        <v>1994</v>
      </c>
      <c r="B40" s="460">
        <v>-0.12757778326307012</v>
      </c>
      <c r="C40" s="461">
        <v>-0.13648177875135445</v>
      </c>
      <c r="D40" s="465">
        <v>-0.46188263759483378</v>
      </c>
      <c r="E40" s="465">
        <v>-0.10686638036123315</v>
      </c>
      <c r="F40" s="461">
        <v>6.1379405889037029E-2</v>
      </c>
      <c r="G40" s="461">
        <v>-0.35501625723360064</v>
      </c>
      <c r="H40" s="461">
        <v>0.10625934200295718</v>
      </c>
      <c r="I40" s="461">
        <v>0.17288400000000001</v>
      </c>
      <c r="J40" s="233"/>
    </row>
    <row r="41" spans="1:10" ht="15">
      <c r="A41" s="304">
        <v>1995</v>
      </c>
      <c r="B41" s="460">
        <v>-4.6400151867121098E-2</v>
      </c>
      <c r="C41" s="461">
        <v>-4.7511141927693089E-2</v>
      </c>
      <c r="D41" s="465">
        <v>-1.6114250066335656E-2</v>
      </c>
      <c r="E41" s="465">
        <v>-4.993416677055941E-2</v>
      </c>
      <c r="F41" s="461">
        <v>5.2576129225968458E-2</v>
      </c>
      <c r="G41" s="461">
        <v>3.3819916704223636E-2</v>
      </c>
      <c r="H41" s="461">
        <v>9.2179928233206143E-2</v>
      </c>
      <c r="I41" s="461">
        <v>0.295126</v>
      </c>
      <c r="J41" s="233"/>
    </row>
    <row r="42" spans="1:10" ht="15">
      <c r="A42" s="304">
        <v>1996</v>
      </c>
      <c r="B42" s="460">
        <v>-6.7844028191238914E-2</v>
      </c>
      <c r="C42" s="461">
        <v>-7.025512657214536E-2</v>
      </c>
      <c r="D42" s="465">
        <v>-0.13633037433528722</v>
      </c>
      <c r="E42" s="465">
        <v>-6.524925551029194E-2</v>
      </c>
      <c r="F42" s="461">
        <v>9.5585116390051669E-2</v>
      </c>
      <c r="G42" s="461">
        <v>-7.1081118824995168E-2</v>
      </c>
      <c r="H42" s="461">
        <v>7.4613869209250616E-2</v>
      </c>
      <c r="I42" s="461">
        <v>0</v>
      </c>
      <c r="J42" s="233"/>
    </row>
    <row r="43" spans="1:10" ht="15">
      <c r="A43" s="304">
        <v>1997</v>
      </c>
      <c r="B43" s="460">
        <v>-3.2688424861444076E-2</v>
      </c>
      <c r="C43" s="461">
        <v>-3.3234627424050429E-2</v>
      </c>
      <c r="D43" s="465">
        <v>-2.2605849017297279E-2</v>
      </c>
      <c r="E43" s="465">
        <v>-3.4016057861559208E-2</v>
      </c>
      <c r="F43" s="461">
        <v>6.5591055844175003E-2</v>
      </c>
      <c r="G43" s="461">
        <v>1.1410208844261836E-2</v>
      </c>
      <c r="H43" s="461">
        <v>0.13751714410166202</v>
      </c>
      <c r="I43" s="461">
        <v>0</v>
      </c>
      <c r="J43" s="233"/>
    </row>
    <row r="44" spans="1:10" ht="15">
      <c r="A44" s="304">
        <v>1998</v>
      </c>
      <c r="B44" s="460">
        <v>-3.760120915248033E-2</v>
      </c>
      <c r="C44" s="461">
        <v>-3.8326370715308741E-2</v>
      </c>
      <c r="D44" s="465">
        <v>-3.9795137481566753E-2</v>
      </c>
      <c r="E44" s="465">
        <v>-3.8217854907867492E-2</v>
      </c>
      <c r="F44" s="461">
        <v>5.7708699010089543E-2</v>
      </c>
      <c r="G44" s="461">
        <v>-1.5772825736989646E-3</v>
      </c>
      <c r="H44" s="461">
        <v>7.8497774447692001E-2</v>
      </c>
      <c r="I44" s="461">
        <v>0</v>
      </c>
      <c r="J44" s="233"/>
    </row>
    <row r="45" spans="1:10" ht="15">
      <c r="A45" s="304">
        <v>1999</v>
      </c>
      <c r="B45" s="460">
        <v>1.4533433988951128E-2</v>
      </c>
      <c r="C45" s="461">
        <v>1.4428835865827867E-2</v>
      </c>
      <c r="D45" s="465">
        <v>9.9873835725105983E-2</v>
      </c>
      <c r="E45" s="465">
        <v>7.821833922136142E-3</v>
      </c>
      <c r="F45" s="461">
        <v>3.9845917280876893E-2</v>
      </c>
      <c r="G45" s="461">
        <v>9.2052001802969921E-2</v>
      </c>
      <c r="H45" s="461">
        <v>0.12767394072495775</v>
      </c>
      <c r="I45" s="461">
        <v>0</v>
      </c>
      <c r="J45" s="233"/>
    </row>
    <row r="46" spans="1:10" ht="15">
      <c r="A46" s="304">
        <v>2000</v>
      </c>
      <c r="B46" s="460">
        <v>4.0172321124360533E-2</v>
      </c>
      <c r="C46" s="461">
        <v>3.9386392816456096E-2</v>
      </c>
      <c r="D46" s="465">
        <v>7.0726883131301627E-2</v>
      </c>
      <c r="E46" s="465">
        <v>3.680612644187814E-2</v>
      </c>
      <c r="F46" s="461">
        <v>-3.103180999786116E-3</v>
      </c>
      <c r="G46" s="461">
        <v>3.3920756689423827E-2</v>
      </c>
      <c r="H46" s="461">
        <v>6.6213465790696951E-2</v>
      </c>
      <c r="I46" s="461">
        <v>0</v>
      </c>
      <c r="J46" s="233"/>
    </row>
    <row r="47" spans="1:10" ht="15">
      <c r="A47" s="304">
        <v>2001</v>
      </c>
      <c r="B47" s="460">
        <v>-6.9103689982355054E-2</v>
      </c>
      <c r="C47" s="461">
        <v>-7.1607382754491869E-2</v>
      </c>
      <c r="D47" s="465">
        <v>-1.7509428585871688E-2</v>
      </c>
      <c r="E47" s="465">
        <v>-7.6272908969485215E-2</v>
      </c>
      <c r="F47" s="461">
        <v>-7.349595133649695E-3</v>
      </c>
      <c r="G47" s="461">
        <v>5.8763480383613238E-2</v>
      </c>
      <c r="H47" s="461">
        <v>-0.1006608807447965</v>
      </c>
      <c r="I47" s="461">
        <v>0</v>
      </c>
      <c r="J47" s="233"/>
    </row>
    <row r="48" spans="1:10" ht="15">
      <c r="A48" s="304">
        <v>2002</v>
      </c>
      <c r="B48" s="460">
        <v>-2.3139389677829358E-2</v>
      </c>
      <c r="C48" s="461">
        <v>-2.3411308231284188E-2</v>
      </c>
      <c r="D48" s="465">
        <v>6.7673039462494379E-3</v>
      </c>
      <c r="E48" s="465">
        <v>-2.6135815610813656E-2</v>
      </c>
      <c r="F48" s="461">
        <v>6.0028862535367128E-2</v>
      </c>
      <c r="G48" s="461">
        <v>3.2903119557063397E-2</v>
      </c>
      <c r="H48" s="461">
        <v>-0.20225056716963816</v>
      </c>
      <c r="I48" s="461">
        <v>0</v>
      </c>
      <c r="J48" s="233"/>
    </row>
    <row r="49" spans="1:10" ht="15">
      <c r="A49" s="304">
        <v>2003</v>
      </c>
      <c r="B49" s="460">
        <v>-2.8604501419591588E-2</v>
      </c>
      <c r="C49" s="461">
        <v>-2.9021583031807508E-2</v>
      </c>
      <c r="D49" s="465">
        <v>-5.312654112006366E-3</v>
      </c>
      <c r="E49" s="465">
        <v>-3.1225860187038063E-2</v>
      </c>
      <c r="F49" s="461">
        <v>-6.5341083840120134E-2</v>
      </c>
      <c r="G49" s="461">
        <v>2.5913206075031163E-2</v>
      </c>
      <c r="H49" s="461">
        <v>-2.3080262581237371E-2</v>
      </c>
      <c r="I49" s="461">
        <v>0</v>
      </c>
      <c r="J49" s="233"/>
    </row>
    <row r="50" spans="1:10" ht="15">
      <c r="A50" s="304">
        <v>2004</v>
      </c>
      <c r="B50" s="460">
        <v>-0.16646224614970329</v>
      </c>
      <c r="C50" s="461">
        <v>-0.18207628225585751</v>
      </c>
      <c r="D50" s="465">
        <v>-0.20937327336323455</v>
      </c>
      <c r="E50" s="465">
        <v>-0.17954336020568057</v>
      </c>
      <c r="F50" s="461">
        <v>-0.39778538419240267</v>
      </c>
      <c r="G50" s="461">
        <v>-2.9829913157554004E-2</v>
      </c>
      <c r="H50" s="461">
        <v>9.3420876720114412E-2</v>
      </c>
      <c r="I50" s="461">
        <v>0</v>
      </c>
      <c r="J50" s="233"/>
    </row>
    <row r="51" spans="1:10" ht="15">
      <c r="A51" s="304">
        <v>2005</v>
      </c>
      <c r="B51" s="460">
        <v>-0.13587028767775977</v>
      </c>
      <c r="C51" s="461">
        <v>-0.14603239144386962</v>
      </c>
      <c r="D51" s="465">
        <v>-0.29802144855667256</v>
      </c>
      <c r="E51" s="465">
        <v>-0.13322506707245907</v>
      </c>
      <c r="F51" s="461">
        <v>5.085640230810775E-2</v>
      </c>
      <c r="G51" s="461">
        <v>-0.16479638148421352</v>
      </c>
      <c r="H51" s="461">
        <v>0.14077166646363473</v>
      </c>
      <c r="I51" s="461">
        <v>0</v>
      </c>
      <c r="J51" s="233"/>
    </row>
    <row r="52" spans="1:10" ht="15">
      <c r="A52" s="304">
        <v>2006</v>
      </c>
      <c r="B52" s="460">
        <v>-5.6927231204001338E-2</v>
      </c>
      <c r="C52" s="461">
        <v>-5.8611831991886236E-2</v>
      </c>
      <c r="D52" s="465">
        <v>-4.989964253021098E-2</v>
      </c>
      <c r="E52" s="465">
        <v>-5.9290432057376295E-2</v>
      </c>
      <c r="F52" s="461">
        <v>1.6334087468424897E-2</v>
      </c>
      <c r="G52" s="461">
        <v>9.3907895271653288E-3</v>
      </c>
      <c r="H52" s="461">
        <v>9.4897251280874284E-2</v>
      </c>
      <c r="I52" s="461">
        <v>0</v>
      </c>
      <c r="J52" s="233"/>
    </row>
    <row r="53" spans="1:10" ht="15">
      <c r="A53" s="304">
        <v>2007</v>
      </c>
      <c r="B53" s="460">
        <v>-1.6379289986085399E-2</v>
      </c>
      <c r="C53" s="461">
        <v>-1.6514913540577731E-2</v>
      </c>
      <c r="D53" s="465">
        <v>2.0536893504091644E-2</v>
      </c>
      <c r="E53" s="465">
        <v>-1.9473243235769669E-2</v>
      </c>
      <c r="F53" s="461">
        <v>4.8656431170160629E-2</v>
      </c>
      <c r="G53" s="461">
        <v>4.0010136739861653E-2</v>
      </c>
      <c r="H53" s="461">
        <v>-8.4497001842403774E-2</v>
      </c>
      <c r="I53" s="461">
        <v>0</v>
      </c>
      <c r="J53" s="233"/>
    </row>
    <row r="54" spans="1:10" ht="15">
      <c r="A54" s="304">
        <v>2008</v>
      </c>
      <c r="B54" s="460">
        <v>-2.7086022422883382E-2</v>
      </c>
      <c r="C54" s="461">
        <v>-2.7459610183291606E-2</v>
      </c>
      <c r="D54" s="465">
        <v>3.7843046216336496E-2</v>
      </c>
      <c r="E54" s="465">
        <v>-3.2971305353923563E-2</v>
      </c>
      <c r="F54" s="466">
        <v>5.715585247407032E-3</v>
      </c>
      <c r="G54" s="461">
        <v>7.0814351570259684E-2</v>
      </c>
      <c r="H54" s="461">
        <v>-0.3081778171909389</v>
      </c>
      <c r="I54" s="461">
        <v>0</v>
      </c>
      <c r="J54" s="233"/>
    </row>
    <row r="55" spans="1:10" ht="15">
      <c r="A55" s="304">
        <v>2009</v>
      </c>
      <c r="B55" s="460">
        <v>-2.0359754555903109E-3</v>
      </c>
      <c r="C55" s="461">
        <v>-2.0380508710933411E-3</v>
      </c>
      <c r="D55" s="465">
        <v>0.16764567247437001</v>
      </c>
      <c r="E55" s="465">
        <v>-1.8338406107842053E-2</v>
      </c>
      <c r="F55" s="466">
        <v>6.6183592646974224E-2</v>
      </c>
      <c r="G55" s="461">
        <v>0.18598407858221208</v>
      </c>
      <c r="H55" s="461">
        <v>-0.42656778910355192</v>
      </c>
      <c r="I55" s="461">
        <v>0</v>
      </c>
      <c r="J55" s="233"/>
    </row>
    <row r="56" spans="1:10" ht="15">
      <c r="A56" s="304">
        <v>2010</v>
      </c>
      <c r="B56" s="460">
        <v>8.8722147591663747E-2</v>
      </c>
      <c r="C56" s="461">
        <v>8.5004666851989916E-2</v>
      </c>
      <c r="D56" s="465">
        <v>0.13910013175517114</v>
      </c>
      <c r="E56" s="465">
        <v>7.9134353054076803E-2</v>
      </c>
      <c r="F56" s="466">
        <v>1.2272159994592635E-2</v>
      </c>
      <c r="G56" s="461">
        <v>5.9965778701094243E-2</v>
      </c>
      <c r="H56" s="461">
        <v>-9.193097312479924E-2</v>
      </c>
      <c r="I56" s="461">
        <v>0</v>
      </c>
      <c r="J56" s="233"/>
    </row>
    <row r="57" spans="1:10" ht="15">
      <c r="A57" s="304">
        <v>2011</v>
      </c>
      <c r="B57" s="460">
        <v>1.0457975007028164E-2</v>
      </c>
      <c r="C57" s="461">
        <v>1.0403668681063238E-2</v>
      </c>
      <c r="D57" s="465">
        <v>3.0262596337781403E-2</v>
      </c>
      <c r="E57" s="465">
        <v>8.1585867321985871E-3</v>
      </c>
      <c r="F57" s="466">
        <v>2.8654470047896979E-3</v>
      </c>
      <c r="G57" s="461">
        <v>2.2104009605582675E-2</v>
      </c>
      <c r="H57" s="461">
        <v>4.3154676862533783E-2</v>
      </c>
      <c r="I57" s="461">
        <v>0</v>
      </c>
      <c r="J57" s="233"/>
    </row>
    <row r="58" spans="1:10" ht="15">
      <c r="A58" s="304">
        <v>2012</v>
      </c>
      <c r="B58" s="460">
        <v>4.58058796927856E-2</v>
      </c>
      <c r="C58" s="461">
        <v>4.4787764952288353E-2</v>
      </c>
      <c r="D58" s="465">
        <v>0.12565569700387746</v>
      </c>
      <c r="E58" s="465">
        <v>3.5113384263201659E-2</v>
      </c>
      <c r="F58" s="466">
        <v>2.5144897654671868E-2</v>
      </c>
      <c r="G58" s="461">
        <v>9.0542312740675854E-2</v>
      </c>
      <c r="H58" s="461">
        <v>0.12343975875498654</v>
      </c>
      <c r="I58" s="461">
        <v>0</v>
      </c>
      <c r="J58" s="233"/>
    </row>
    <row r="59" spans="1:10" ht="15">
      <c r="A59" s="304">
        <v>2013</v>
      </c>
      <c r="B59" s="460">
        <v>5.2442011971338687E-3</v>
      </c>
      <c r="C59" s="461">
        <v>5.2304982604625197E-3</v>
      </c>
      <c r="D59" s="465">
        <v>0.13880787972769368</v>
      </c>
      <c r="E59" s="465">
        <v>-1.2814861046236066E-2</v>
      </c>
      <c r="F59" s="466">
        <v>7.0658592578031226E-2</v>
      </c>
      <c r="G59" s="461">
        <v>0.15162274077392943</v>
      </c>
      <c r="H59" s="461">
        <v>0.15104512940351872</v>
      </c>
      <c r="I59" s="461">
        <v>0</v>
      </c>
      <c r="J59" s="233"/>
    </row>
    <row r="60" spans="1:10" ht="15">
      <c r="A60" s="304">
        <v>2014</v>
      </c>
      <c r="B60" s="460">
        <v>1.3656209822585641E-3</v>
      </c>
      <c r="C60" s="461">
        <v>1.3646893699813694E-3</v>
      </c>
      <c r="D60" s="465">
        <v>6.9193996498921648E-2</v>
      </c>
      <c r="E60" s="465">
        <v>-8.9083407071607473E-3</v>
      </c>
      <c r="F60" s="466">
        <v>2.6682695491357785E-3</v>
      </c>
      <c r="G60" s="461">
        <v>7.8102337206082409E-2</v>
      </c>
      <c r="H60" s="461">
        <v>0.17774590764113116</v>
      </c>
      <c r="I60" s="461">
        <v>0</v>
      </c>
      <c r="J60" s="233"/>
    </row>
    <row r="61" spans="1:10" ht="15">
      <c r="A61" s="304">
        <v>2015</v>
      </c>
      <c r="B61" s="467">
        <v>-7.0812524431363988E-3</v>
      </c>
      <c r="C61" s="466">
        <v>-7.1064435045044925E-3</v>
      </c>
      <c r="D61" s="468">
        <v>5.1180226898223706E-2</v>
      </c>
      <c r="E61" s="468">
        <v>-1.6601713018361462E-2</v>
      </c>
      <c r="F61" s="466">
        <v>2.4583554819810277E-3</v>
      </c>
      <c r="G61" s="461">
        <v>6.7781939916585376E-2</v>
      </c>
      <c r="H61" s="461">
        <v>0.19398678975009803</v>
      </c>
      <c r="I61" s="461">
        <v>0</v>
      </c>
      <c r="J61" s="233"/>
    </row>
    <row r="62" spans="1:10" ht="15">
      <c r="A62" s="304">
        <v>2016</v>
      </c>
      <c r="B62" s="467">
        <v>-3.2960938360950265E-2</v>
      </c>
      <c r="C62" s="466">
        <v>-3.3516389681758851E-2</v>
      </c>
      <c r="D62" s="468">
        <v>3.5371655291474902E-2</v>
      </c>
      <c r="E62" s="468">
        <v>-4.560588024400139E-2</v>
      </c>
      <c r="F62" s="466">
        <v>4.3417132363153957E-3</v>
      </c>
      <c r="G62" s="461">
        <v>8.0977535535476583E-2</v>
      </c>
      <c r="H62" s="461">
        <v>8.1687682998602212E-2</v>
      </c>
      <c r="I62" s="461">
        <v>0</v>
      </c>
      <c r="J62" s="233"/>
    </row>
    <row r="63" spans="1:10" ht="15">
      <c r="A63" s="310" t="s">
        <v>398</v>
      </c>
      <c r="B63" s="469">
        <v>-1.6544362165367921E-2</v>
      </c>
      <c r="C63" s="470">
        <v>-1.6682748591668201E-2</v>
      </c>
      <c r="D63" s="471">
        <v>7.89377823144288E-2</v>
      </c>
      <c r="E63" s="471">
        <v>-3.58569986009728E-2</v>
      </c>
      <c r="F63" s="470">
        <v>4.0775999793309882E-3</v>
      </c>
      <c r="G63" s="471">
        <v>0.11479478091540174</v>
      </c>
      <c r="H63" s="470">
        <v>7.8010967159254735E-2</v>
      </c>
      <c r="I63" s="470">
        <v>0</v>
      </c>
      <c r="J63" s="233"/>
    </row>
    <row r="64" spans="1:10" ht="15">
      <c r="A64" s="311">
        <v>2018</v>
      </c>
      <c r="B64" s="472">
        <v>6.3207039717672053E-4</v>
      </c>
      <c r="C64" s="473">
        <v>6.318707248167886E-4</v>
      </c>
      <c r="D64" s="474">
        <v>6.318707248167886E-4</v>
      </c>
      <c r="E64" s="474">
        <v>6.3187072481689366E-4</v>
      </c>
      <c r="F64" s="473">
        <v>3.4132840345020721E-3</v>
      </c>
      <c r="G64" s="474">
        <v>0</v>
      </c>
      <c r="H64" s="475">
        <v>0.21558404866260431</v>
      </c>
      <c r="I64" s="475">
        <v>0</v>
      </c>
      <c r="J64" s="233"/>
    </row>
    <row r="65" spans="1:10" ht="15">
      <c r="A65" s="308">
        <v>2019</v>
      </c>
      <c r="B65" s="476">
        <v>-1.8661225762615863E-2</v>
      </c>
      <c r="C65" s="477">
        <v>-1.8837543417341722E-2</v>
      </c>
      <c r="D65" s="478">
        <v>-1.8837543417341722E-2</v>
      </c>
      <c r="E65" s="478">
        <v>-1.8837543417341715E-2</v>
      </c>
      <c r="F65" s="477">
        <v>4.1135378638980967E-3</v>
      </c>
      <c r="G65" s="478">
        <v>0</v>
      </c>
      <c r="H65" s="479">
        <v>4.6516129013453363E-3</v>
      </c>
      <c r="I65" s="479">
        <v>0</v>
      </c>
      <c r="J65" s="233"/>
    </row>
    <row r="66" spans="1:10" ht="15">
      <c r="A66" s="308">
        <v>2020</v>
      </c>
      <c r="B66" s="476">
        <v>-1.9533049656049517E-2</v>
      </c>
      <c r="C66" s="477">
        <v>-1.972634085523475E-2</v>
      </c>
      <c r="D66" s="478">
        <v>-1.9726340855234864E-2</v>
      </c>
      <c r="E66" s="478">
        <v>-1.9726340855234805E-2</v>
      </c>
      <c r="F66" s="477">
        <v>4.1135378638980967E-3</v>
      </c>
      <c r="G66" s="478">
        <v>0</v>
      </c>
      <c r="H66" s="479">
        <v>-4.9165533005402304E-3</v>
      </c>
      <c r="I66" s="479">
        <v>0</v>
      </c>
      <c r="J66" s="233"/>
    </row>
    <row r="67" spans="1:10" ht="15">
      <c r="A67" s="308">
        <v>2021</v>
      </c>
      <c r="B67" s="476">
        <v>-2.184031232789585E-2</v>
      </c>
      <c r="C67" s="477">
        <v>-2.2082342447692683E-2</v>
      </c>
      <c r="D67" s="478">
        <v>-2.2082342447692568E-2</v>
      </c>
      <c r="E67" s="478">
        <v>-2.2082342447692714E-2</v>
      </c>
      <c r="F67" s="477">
        <v>4.1135378638980967E-3</v>
      </c>
      <c r="G67" s="478">
        <v>0</v>
      </c>
      <c r="H67" s="479">
        <v>-3.0279604370964178E-2</v>
      </c>
      <c r="I67" s="479">
        <v>0</v>
      </c>
      <c r="J67" s="233"/>
    </row>
    <row r="68" spans="1:10" ht="15">
      <c r="A68" s="301"/>
      <c r="B68" s="301"/>
      <c r="C68" s="301"/>
      <c r="D68" s="301"/>
      <c r="E68" s="301"/>
      <c r="F68" s="312"/>
      <c r="G68" s="301"/>
      <c r="H68" s="301"/>
      <c r="I68" s="301"/>
      <c r="J68" s="233"/>
    </row>
    <row r="69" spans="1:10" ht="15">
      <c r="A69" s="301"/>
      <c r="B69" s="301"/>
      <c r="C69" s="313" t="s">
        <v>207</v>
      </c>
      <c r="D69" s="301"/>
      <c r="E69" s="301"/>
      <c r="F69" s="301"/>
      <c r="G69" s="301"/>
      <c r="H69" s="301"/>
      <c r="I69" s="301"/>
      <c r="J69" s="233"/>
    </row>
    <row r="70" spans="1:10" ht="15">
      <c r="A70" s="304"/>
      <c r="B70" s="50"/>
      <c r="C70" s="301" t="s">
        <v>208</v>
      </c>
      <c r="D70" s="301"/>
      <c r="E70" s="461">
        <v>-0.02</v>
      </c>
      <c r="F70" s="480"/>
      <c r="G70" s="480"/>
      <c r="H70" s="481"/>
      <c r="I70" s="482"/>
      <c r="J70" s="233"/>
    </row>
    <row r="71" spans="1:10" ht="15">
      <c r="A71" s="304"/>
      <c r="B71" s="50"/>
      <c r="C71" s="301" t="s">
        <v>209</v>
      </c>
      <c r="D71" s="301"/>
      <c r="E71" s="461">
        <v>3.9511659289761088E-2</v>
      </c>
      <c r="F71" s="481"/>
      <c r="G71" s="481"/>
      <c r="H71" s="482"/>
      <c r="I71" s="482"/>
      <c r="J71" s="233"/>
    </row>
    <row r="72" spans="1:10" ht="15">
      <c r="A72" s="304"/>
      <c r="B72" s="314"/>
      <c r="C72" s="301" t="s">
        <v>210</v>
      </c>
      <c r="D72" s="301"/>
      <c r="E72" s="461">
        <v>0.57500699655831322</v>
      </c>
      <c r="F72" s="481"/>
      <c r="G72" s="481"/>
      <c r="H72" s="482"/>
      <c r="I72" s="482"/>
      <c r="J72" s="233"/>
    </row>
    <row r="73" spans="1:10" ht="15">
      <c r="A73" s="304"/>
      <c r="B73" s="314"/>
      <c r="C73" s="301" t="s">
        <v>211</v>
      </c>
      <c r="D73" s="301"/>
      <c r="E73" s="483">
        <v>39</v>
      </c>
      <c r="F73" s="481"/>
      <c r="G73" s="481"/>
      <c r="H73" s="482"/>
      <c r="I73" s="482"/>
      <c r="J73" s="233"/>
    </row>
    <row r="74" spans="1:10" ht="15">
      <c r="A74" s="304"/>
      <c r="B74" s="314"/>
      <c r="C74" s="301" t="s">
        <v>212</v>
      </c>
      <c r="D74" s="301"/>
      <c r="E74" s="483">
        <v>34</v>
      </c>
      <c r="F74" s="481"/>
      <c r="G74" s="481"/>
      <c r="H74" s="481"/>
      <c r="I74" s="481"/>
      <c r="J74" s="233"/>
    </row>
    <row r="75" spans="1:10" ht="15">
      <c r="A75" s="301"/>
      <c r="B75" s="301"/>
      <c r="C75" s="301"/>
      <c r="D75" s="301"/>
      <c r="E75" s="481"/>
      <c r="F75" s="481"/>
      <c r="G75" s="481"/>
      <c r="H75" s="481"/>
      <c r="I75" s="481"/>
      <c r="J75" s="233"/>
    </row>
    <row r="76" spans="1:10" ht="15">
      <c r="A76" s="301"/>
      <c r="B76" s="301"/>
      <c r="C76" s="301" t="s">
        <v>213</v>
      </c>
      <c r="D76" s="301"/>
      <c r="E76" s="481"/>
      <c r="F76" s="461">
        <v>0.17755109830115076</v>
      </c>
      <c r="G76" s="461">
        <v>0.28156743252074296</v>
      </c>
      <c r="H76" s="461">
        <v>9.2891095235985321E-2</v>
      </c>
      <c r="I76" s="461">
        <v>-0.13054002052235489</v>
      </c>
      <c r="J76" s="233"/>
    </row>
    <row r="77" spans="1:10" ht="15">
      <c r="A77" s="301"/>
      <c r="B77" s="301"/>
      <c r="C77" s="301" t="s">
        <v>214</v>
      </c>
      <c r="D77" s="301"/>
      <c r="E77" s="481"/>
      <c r="F77" s="461">
        <v>7.2034065043975679E-2</v>
      </c>
      <c r="G77" s="461">
        <v>6.1407704763703545E-2</v>
      </c>
      <c r="H77" s="461">
        <v>4.3424122914223602E-2</v>
      </c>
      <c r="I77" s="461">
        <v>7.6367421765738158E-2</v>
      </c>
      <c r="J77" s="233"/>
    </row>
    <row r="78" spans="1:10" ht="15">
      <c r="A78" s="301"/>
      <c r="B78" s="301"/>
      <c r="C78" s="301"/>
      <c r="D78" s="301"/>
      <c r="E78" s="301"/>
      <c r="F78" s="301"/>
      <c r="G78" s="301"/>
      <c r="H78" s="301"/>
      <c r="I78" s="301"/>
      <c r="J78" s="233"/>
    </row>
    <row r="79" spans="1:10" ht="15">
      <c r="A79" s="301" t="s">
        <v>215</v>
      </c>
      <c r="B79" s="301"/>
      <c r="C79" s="301"/>
      <c r="D79" s="301"/>
      <c r="E79" s="301"/>
      <c r="F79" s="301"/>
      <c r="G79" s="301"/>
      <c r="H79" s="301"/>
      <c r="I79" s="301"/>
      <c r="J79" s="233"/>
    </row>
    <row r="80" spans="1:10" ht="15">
      <c r="A80" s="301" t="s">
        <v>270</v>
      </c>
      <c r="B80" s="301"/>
      <c r="C80" s="301"/>
      <c r="D80" s="301"/>
      <c r="E80" s="301"/>
      <c r="F80" s="301"/>
      <c r="G80" s="301"/>
      <c r="H80" s="301"/>
      <c r="I80" s="301"/>
      <c r="J80" s="233"/>
    </row>
    <row r="81" spans="1:10" ht="15">
      <c r="A81" s="301" t="s">
        <v>271</v>
      </c>
      <c r="B81" s="301"/>
      <c r="C81" s="301"/>
      <c r="D81" s="301"/>
      <c r="E81" s="301"/>
      <c r="F81" s="301"/>
      <c r="G81" s="301"/>
      <c r="H81" s="301"/>
      <c r="I81" s="301"/>
      <c r="J81" s="233"/>
    </row>
    <row r="82" spans="1:10" ht="15">
      <c r="A82" s="301" t="s">
        <v>272</v>
      </c>
      <c r="B82" s="301"/>
      <c r="C82" s="301"/>
      <c r="D82" s="301"/>
      <c r="E82" s="301"/>
      <c r="F82" s="301"/>
      <c r="G82" s="301"/>
      <c r="H82" s="301"/>
      <c r="I82" s="301"/>
      <c r="J82" s="233"/>
    </row>
    <row r="83" spans="1:10" ht="15">
      <c r="A83" s="301" t="s">
        <v>273</v>
      </c>
      <c r="B83" s="301"/>
      <c r="C83" s="301"/>
      <c r="D83" s="301"/>
      <c r="E83" s="301"/>
      <c r="F83" s="301"/>
      <c r="G83" s="301"/>
      <c r="H83" s="301"/>
      <c r="I83" s="301"/>
      <c r="J83" s="233"/>
    </row>
    <row r="84" spans="1:10" ht="15">
      <c r="A84" s="301" t="s">
        <v>274</v>
      </c>
      <c r="B84" s="301"/>
      <c r="C84" s="301"/>
      <c r="D84" s="301"/>
      <c r="E84" s="301"/>
      <c r="F84" s="301"/>
      <c r="G84" s="301"/>
      <c r="H84" s="301"/>
      <c r="I84" s="301"/>
      <c r="J84" s="233"/>
    </row>
    <row r="85" spans="1:10" ht="15">
      <c r="A85" s="301" t="s">
        <v>409</v>
      </c>
      <c r="B85" s="301"/>
      <c r="C85" s="301"/>
      <c r="D85" s="301"/>
      <c r="E85" s="301"/>
      <c r="F85" s="301"/>
      <c r="G85" s="301"/>
      <c r="H85" s="301"/>
      <c r="I85" s="301"/>
      <c r="J85" s="233"/>
    </row>
    <row r="86" spans="1:10" ht="15">
      <c r="A86" s="301" t="s">
        <v>399</v>
      </c>
      <c r="B86" s="301"/>
      <c r="C86" s="301"/>
      <c r="D86" s="301"/>
      <c r="E86" s="301"/>
      <c r="F86" s="301"/>
      <c r="G86" s="301"/>
      <c r="H86" s="301"/>
      <c r="I86" s="301"/>
      <c r="J86" s="233"/>
    </row>
    <row r="87" spans="1:10" ht="15">
      <c r="A87" s="301" t="s">
        <v>275</v>
      </c>
      <c r="B87" s="301"/>
      <c r="C87" s="301"/>
      <c r="D87" s="301"/>
      <c r="E87" s="301"/>
      <c r="F87" s="301"/>
      <c r="G87" s="301"/>
      <c r="H87" s="301"/>
      <c r="I87" s="301"/>
      <c r="J87" s="233"/>
    </row>
    <row r="88" spans="1:10" ht="15">
      <c r="A88" s="301" t="s">
        <v>276</v>
      </c>
      <c r="B88" s="301"/>
      <c r="C88" s="301"/>
      <c r="D88" s="301"/>
      <c r="E88" s="301"/>
      <c r="F88" s="301"/>
      <c r="G88" s="301"/>
      <c r="H88" s="301"/>
      <c r="I88" s="301"/>
      <c r="J88" s="233"/>
    </row>
    <row r="89" spans="1:10">
      <c r="A89" s="301" t="s">
        <v>277</v>
      </c>
      <c r="B89" s="301"/>
      <c r="C89" s="301"/>
      <c r="D89" s="301"/>
      <c r="E89" s="301"/>
      <c r="F89" s="301"/>
      <c r="G89" s="301"/>
      <c r="H89" s="301"/>
      <c r="I89" s="301"/>
    </row>
    <row r="90" spans="1:10">
      <c r="A90" s="301" t="s">
        <v>410</v>
      </c>
      <c r="B90" s="301"/>
      <c r="C90" s="301"/>
      <c r="D90" s="301"/>
      <c r="E90" s="301"/>
      <c r="F90" s="301"/>
      <c r="G90" s="301"/>
      <c r="H90" s="301"/>
      <c r="I90" s="301"/>
    </row>
    <row r="91" spans="1:10">
      <c r="A91" s="301"/>
      <c r="B91" s="301"/>
      <c r="C91" s="301"/>
      <c r="D91" s="301"/>
      <c r="E91" s="301"/>
      <c r="F91" s="301"/>
      <c r="G91" s="301"/>
      <c r="H91" s="301"/>
      <c r="I91" s="301"/>
    </row>
  </sheetData>
  <printOptions horizontalCentered="1"/>
  <pageMargins left="0.7" right="0.7" top="0.75" bottom="0.75" header="0.3" footer="0.3"/>
  <pageSetup scale="53" orientation="portrait" horizontalDpi="1200" verticalDpi="1200" r:id="rId1"/>
  <colBreaks count="1" manualBreakCount="1">
    <brk id="9"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N49"/>
  <sheetViews>
    <sheetView workbookViewId="0">
      <selection sqref="A1:M1"/>
    </sheetView>
  </sheetViews>
  <sheetFormatPr defaultColWidth="9.140625" defaultRowHeight="12.75"/>
  <cols>
    <col min="1" max="1" width="4" style="136" customWidth="1"/>
    <col min="2" max="2" width="9.140625" style="136"/>
    <col min="3" max="3" width="5" style="136" customWidth="1"/>
    <col min="4" max="4" width="9.140625" style="136"/>
    <col min="5" max="5" width="5" style="136" customWidth="1"/>
    <col min="6" max="6" width="9.140625" style="136"/>
    <col min="7" max="7" width="5" style="136" customWidth="1"/>
    <col min="8" max="8" width="9.140625" style="136"/>
    <col min="9" max="9" width="5" style="136" customWidth="1"/>
    <col min="10" max="10" width="9.140625" style="136"/>
    <col min="11" max="11" width="5" style="136" customWidth="1"/>
    <col min="12" max="12" width="9.140625" style="136"/>
    <col min="13" max="13" width="4" style="136" customWidth="1"/>
    <col min="14" max="16384" width="9.140625" style="136"/>
  </cols>
  <sheetData>
    <row r="1" spans="1:14">
      <c r="A1" s="547" t="s">
        <v>216</v>
      </c>
      <c r="B1" s="547"/>
      <c r="C1" s="547"/>
      <c r="D1" s="547"/>
      <c r="E1" s="547"/>
      <c r="F1" s="547"/>
      <c r="G1" s="547"/>
      <c r="H1" s="547"/>
      <c r="I1" s="547"/>
      <c r="J1" s="547"/>
      <c r="K1" s="547"/>
      <c r="L1" s="547"/>
      <c r="M1" s="547"/>
    </row>
    <row r="2" spans="1:14">
      <c r="A2" s="547" t="s">
        <v>489</v>
      </c>
      <c r="B2" s="547"/>
      <c r="C2" s="547"/>
      <c r="D2" s="547"/>
      <c r="E2" s="547"/>
      <c r="F2" s="547"/>
      <c r="G2" s="547"/>
      <c r="H2" s="547"/>
      <c r="I2" s="547"/>
      <c r="J2" s="547"/>
      <c r="K2" s="547"/>
      <c r="L2" s="547"/>
      <c r="M2" s="547"/>
    </row>
    <row r="3" spans="1:14">
      <c r="A3" s="10"/>
      <c r="B3" s="10"/>
      <c r="C3" s="10"/>
      <c r="D3" s="10"/>
      <c r="E3" s="10"/>
      <c r="F3" s="10"/>
      <c r="G3" s="10"/>
      <c r="H3" s="10"/>
      <c r="I3" s="10"/>
      <c r="J3" s="10"/>
      <c r="K3" s="10"/>
      <c r="L3" s="10"/>
      <c r="M3" s="10"/>
    </row>
    <row r="4" spans="1:14">
      <c r="A4" s="10"/>
      <c r="B4" s="10"/>
      <c r="C4" s="10"/>
      <c r="D4" s="39" t="s">
        <v>47</v>
      </c>
      <c r="E4" s="39"/>
      <c r="F4" s="39" t="s">
        <v>48</v>
      </c>
      <c r="G4" s="39"/>
      <c r="H4" s="39" t="s">
        <v>49</v>
      </c>
      <c r="I4" s="39"/>
      <c r="J4" s="39" t="s">
        <v>50</v>
      </c>
      <c r="K4" s="39"/>
      <c r="L4" s="39" t="s">
        <v>56</v>
      </c>
      <c r="M4" s="39"/>
    </row>
    <row r="5" spans="1:14">
      <c r="A5" s="10"/>
      <c r="B5" s="10"/>
      <c r="C5" s="10"/>
      <c r="D5" s="158" t="s">
        <v>217</v>
      </c>
      <c r="E5" s="158"/>
      <c r="F5" s="158"/>
      <c r="G5" s="10"/>
      <c r="H5" s="158" t="s">
        <v>3</v>
      </c>
      <c r="I5" s="10"/>
      <c r="J5" s="158" t="s">
        <v>62</v>
      </c>
      <c r="K5" s="158"/>
      <c r="L5" s="158"/>
      <c r="M5" s="158"/>
    </row>
    <row r="6" spans="1:14">
      <c r="A6" s="10"/>
      <c r="B6" s="158" t="s">
        <v>218</v>
      </c>
      <c r="C6" s="10"/>
      <c r="D6" s="158" t="s">
        <v>62</v>
      </c>
      <c r="E6" s="158"/>
      <c r="F6" s="158" t="s">
        <v>72</v>
      </c>
      <c r="G6" s="10"/>
      <c r="H6" s="158" t="s">
        <v>157</v>
      </c>
      <c r="I6" s="10"/>
      <c r="J6" s="158" t="s">
        <v>131</v>
      </c>
      <c r="K6" s="158"/>
      <c r="L6" s="158" t="s">
        <v>72</v>
      </c>
      <c r="M6" s="158"/>
    </row>
    <row r="7" spans="1:14">
      <c r="A7" s="10"/>
      <c r="B7" s="38" t="s">
        <v>8</v>
      </c>
      <c r="C7" s="87"/>
      <c r="D7" s="38" t="s">
        <v>219</v>
      </c>
      <c r="E7" s="38"/>
      <c r="F7" s="38" t="s">
        <v>220</v>
      </c>
      <c r="G7" s="87"/>
      <c r="H7" s="38" t="s">
        <v>223</v>
      </c>
      <c r="I7" s="87"/>
      <c r="J7" s="38" t="s">
        <v>219</v>
      </c>
      <c r="K7" s="38"/>
      <c r="L7" s="38" t="s">
        <v>220</v>
      </c>
      <c r="M7" s="38"/>
    </row>
    <row r="8" spans="1:14">
      <c r="A8" s="10"/>
      <c r="B8" s="10"/>
      <c r="C8" s="10"/>
      <c r="D8" s="96"/>
      <c r="E8" s="96"/>
      <c r="F8" s="96"/>
      <c r="G8" s="10"/>
      <c r="H8" s="74"/>
      <c r="I8" s="10"/>
      <c r="J8" s="97" t="s">
        <v>221</v>
      </c>
      <c r="K8" s="97"/>
      <c r="L8" s="158"/>
      <c r="M8" s="158"/>
    </row>
    <row r="9" spans="1:14">
      <c r="A9" s="10"/>
      <c r="B9" s="10"/>
      <c r="C9" s="10"/>
      <c r="D9" s="96"/>
      <c r="E9" s="96"/>
      <c r="F9" s="96"/>
      <c r="G9" s="10"/>
      <c r="H9" s="74"/>
      <c r="I9" s="10"/>
      <c r="J9" s="158"/>
      <c r="K9" s="158"/>
      <c r="L9" s="158"/>
      <c r="M9" s="158"/>
    </row>
    <row r="10" spans="1:14">
      <c r="A10" s="10"/>
      <c r="B10" s="234">
        <v>1990</v>
      </c>
      <c r="C10" s="10"/>
      <c r="D10" s="428">
        <v>9975.355769344982</v>
      </c>
      <c r="E10" s="96"/>
      <c r="F10" s="98" t="s">
        <v>34</v>
      </c>
      <c r="G10" s="10"/>
      <c r="H10" s="74">
        <f>SUMIFS('Exhibit 4.1'!Q:Q,'Exhibit 4.1'!B:B,$B10)</f>
        <v>1.9143728983930113</v>
      </c>
      <c r="I10" s="10"/>
      <c r="J10" s="96">
        <f t="shared" ref="J10:J35" si="0">H10*D10</f>
        <v>19096.550736662401</v>
      </c>
      <c r="K10" s="96"/>
      <c r="L10" s="98" t="s">
        <v>34</v>
      </c>
      <c r="M10" s="98"/>
      <c r="N10" s="145"/>
    </row>
    <row r="11" spans="1:14">
      <c r="A11" s="10"/>
      <c r="B11" s="234">
        <v>1991</v>
      </c>
      <c r="C11" s="10"/>
      <c r="D11" s="428">
        <v>10914.739858273961</v>
      </c>
      <c r="E11" s="96"/>
      <c r="F11" s="66">
        <f t="shared" ref="F11:F37" si="1">+D11/D10-1</f>
        <v>9.417048480774759E-2</v>
      </c>
      <c r="G11" s="10"/>
      <c r="H11" s="74">
        <f>SUMIFS('Exhibit 4.1'!Q:Q,'Exhibit 4.1'!B:B,$B11)</f>
        <v>1.8104665993245754</v>
      </c>
      <c r="I11" s="10"/>
      <c r="J11" s="96">
        <f t="shared" si="0"/>
        <v>19760.771953721654</v>
      </c>
      <c r="K11" s="96"/>
      <c r="L11" s="66">
        <f t="shared" ref="L11:L37" si="2">+J11/J10-1</f>
        <v>3.4782261268997194E-2</v>
      </c>
      <c r="M11" s="66"/>
      <c r="N11" s="145"/>
    </row>
    <row r="12" spans="1:14">
      <c r="A12" s="10"/>
      <c r="B12" s="274">
        <v>1992</v>
      </c>
      <c r="C12" s="10"/>
      <c r="D12" s="428">
        <v>11016.973943522504</v>
      </c>
      <c r="E12" s="96"/>
      <c r="F12" s="66">
        <f t="shared" si="1"/>
        <v>9.3666075945038063E-3</v>
      </c>
      <c r="G12" s="10"/>
      <c r="H12" s="74">
        <f>SUMIFS('Exhibit 4.1'!Q:Q,'Exhibit 4.1'!B:B,$B12)</f>
        <v>1.7504472635519075</v>
      </c>
      <c r="I12" s="10"/>
      <c r="J12" s="96">
        <f t="shared" si="0"/>
        <v>19284.631892061632</v>
      </c>
      <c r="K12" s="96"/>
      <c r="L12" s="66">
        <f t="shared" si="2"/>
        <v>-2.4095215651246282E-2</v>
      </c>
      <c r="M12" s="66"/>
      <c r="N12" s="145"/>
    </row>
    <row r="13" spans="1:14">
      <c r="A13" s="10"/>
      <c r="B13" s="274">
        <v>1993</v>
      </c>
      <c r="C13" s="10"/>
      <c r="D13" s="428">
        <v>11994.201409187099</v>
      </c>
      <c r="E13" s="96"/>
      <c r="F13" s="66">
        <f t="shared" si="1"/>
        <v>8.8701985742569711E-2</v>
      </c>
      <c r="G13" s="10"/>
      <c r="H13" s="74">
        <f>SUMIFS('Exhibit 4.1'!Q:Q,'Exhibit 4.1'!B:B,$B13)</f>
        <v>1.739993383305011</v>
      </c>
      <c r="I13" s="10"/>
      <c r="J13" s="96">
        <f t="shared" si="0"/>
        <v>20869.831090013191</v>
      </c>
      <c r="K13" s="96"/>
      <c r="L13" s="66">
        <f t="shared" si="2"/>
        <v>8.2200127377286991E-2</v>
      </c>
      <c r="M13" s="66"/>
      <c r="N13" s="145"/>
    </row>
    <row r="14" spans="1:14">
      <c r="A14" s="10"/>
      <c r="B14" s="274">
        <v>1994</v>
      </c>
      <c r="C14" s="10"/>
      <c r="D14" s="428">
        <v>12956.69548475551</v>
      </c>
      <c r="E14" s="96"/>
      <c r="F14" s="66">
        <f t="shared" si="1"/>
        <v>8.0246616071594223E-2</v>
      </c>
      <c r="G14" s="10"/>
      <c r="H14" s="74">
        <f>SUMIFS('Exhibit 4.1'!Q:Q,'Exhibit 4.1'!B:B,$B14)</f>
        <v>1.8225665850052595</v>
      </c>
      <c r="I14" s="10"/>
      <c r="J14" s="96">
        <f t="shared" si="0"/>
        <v>23614.440242603916</v>
      </c>
      <c r="K14" s="96"/>
      <c r="L14" s="66">
        <f t="shared" si="2"/>
        <v>0.13151084648232247</v>
      </c>
      <c r="M14" s="66"/>
      <c r="N14" s="145"/>
    </row>
    <row r="15" spans="1:14">
      <c r="A15" s="10"/>
      <c r="B15" s="274">
        <v>1995</v>
      </c>
      <c r="C15" s="10"/>
      <c r="D15" s="428">
        <v>14528.150354400283</v>
      </c>
      <c r="E15" s="96"/>
      <c r="F15" s="66">
        <f t="shared" si="1"/>
        <v>0.1212851588195234</v>
      </c>
      <c r="G15" s="10"/>
      <c r="H15" s="74">
        <f>SUMIFS('Exhibit 4.1'!Q:Q,'Exhibit 4.1'!B:B,$B15)</f>
        <v>1.6975741968883691</v>
      </c>
      <c r="I15" s="10"/>
      <c r="J15" s="96">
        <f t="shared" si="0"/>
        <v>24662.613170144534</v>
      </c>
      <c r="K15" s="96"/>
      <c r="L15" s="66">
        <f t="shared" si="2"/>
        <v>4.4386947849373914E-2</v>
      </c>
      <c r="M15" s="66"/>
      <c r="N15" s="145"/>
    </row>
    <row r="16" spans="1:14">
      <c r="A16" s="10"/>
      <c r="B16" s="274">
        <v>1996</v>
      </c>
      <c r="C16" s="10"/>
      <c r="D16" s="428">
        <v>16284.360856038717</v>
      </c>
      <c r="E16" s="96"/>
      <c r="F16" s="66">
        <f t="shared" si="1"/>
        <v>0.12088328237231605</v>
      </c>
      <c r="G16" s="10"/>
      <c r="H16" s="74">
        <f>SUMIFS('Exhibit 4.1'!Q:Q,'Exhibit 4.1'!B:B,$B16)</f>
        <v>1.5930150603849429</v>
      </c>
      <c r="I16" s="10"/>
      <c r="J16" s="96">
        <f t="shared" si="0"/>
        <v>25941.232092412716</v>
      </c>
      <c r="K16" s="96"/>
      <c r="L16" s="66">
        <f t="shared" si="2"/>
        <v>5.1844421896704018E-2</v>
      </c>
      <c r="M16" s="66"/>
      <c r="N16" s="145"/>
    </row>
    <row r="17" spans="1:14">
      <c r="A17" s="10"/>
      <c r="B17" s="274">
        <v>1997</v>
      </c>
      <c r="C17" s="10"/>
      <c r="D17" s="428">
        <v>19341.446401246889</v>
      </c>
      <c r="E17" s="96"/>
      <c r="F17" s="66">
        <f t="shared" si="1"/>
        <v>0.18773138057024297</v>
      </c>
      <c r="G17" s="10"/>
      <c r="H17" s="74">
        <f>SUMIFS('Exhibit 4.1'!Q:Q,'Exhibit 4.1'!B:B,$B17)</f>
        <v>1.4292873373202353</v>
      </c>
      <c r="I17" s="10"/>
      <c r="J17" s="96">
        <f t="shared" si="0"/>
        <v>27644.484426760213</v>
      </c>
      <c r="K17" s="96"/>
      <c r="L17" s="66">
        <f t="shared" si="2"/>
        <v>6.5658112470520003E-2</v>
      </c>
      <c r="M17" s="66"/>
      <c r="N17" s="145"/>
    </row>
    <row r="18" spans="1:14">
      <c r="A18" s="10"/>
      <c r="B18" s="274">
        <v>1998</v>
      </c>
      <c r="C18" s="10"/>
      <c r="D18" s="428">
        <v>21205.225220489545</v>
      </c>
      <c r="E18" s="96"/>
      <c r="F18" s="66">
        <f t="shared" si="1"/>
        <v>9.636191526619764E-2</v>
      </c>
      <c r="G18" s="10"/>
      <c r="H18" s="74">
        <f>SUMIFS('Exhibit 4.1'!Q:Q,'Exhibit 4.1'!B:B,$B18)</f>
        <v>1.3183240057557721</v>
      </c>
      <c r="I18" s="10"/>
      <c r="J18" s="96">
        <f t="shared" si="0"/>
        <v>27955.357455629102</v>
      </c>
      <c r="K18" s="96"/>
      <c r="L18" s="66">
        <f t="shared" si="2"/>
        <v>1.1245390728573668E-2</v>
      </c>
      <c r="M18" s="66"/>
      <c r="N18" s="145"/>
    </row>
    <row r="19" spans="1:14">
      <c r="A19" s="10"/>
      <c r="B19" s="274">
        <v>1999</v>
      </c>
      <c r="C19" s="10"/>
      <c r="D19" s="428">
        <v>23245.80596965284</v>
      </c>
      <c r="E19" s="96"/>
      <c r="F19" s="66">
        <f t="shared" si="1"/>
        <v>9.6230090835893733E-2</v>
      </c>
      <c r="G19" s="10"/>
      <c r="H19" s="74">
        <f>SUMIFS('Exhibit 4.1'!Q:Q,'Exhibit 4.1'!B:B,$B19)</f>
        <v>1.2215786420419743</v>
      </c>
      <c r="I19" s="10"/>
      <c r="J19" s="96">
        <f t="shared" si="0"/>
        <v>28396.580089579737</v>
      </c>
      <c r="K19" s="96"/>
      <c r="L19" s="66">
        <f t="shared" si="2"/>
        <v>1.5783115442216999E-2</v>
      </c>
      <c r="M19" s="66"/>
      <c r="N19" s="145"/>
    </row>
    <row r="20" spans="1:14">
      <c r="A20" s="10"/>
      <c r="B20" s="274">
        <v>2000</v>
      </c>
      <c r="C20" s="10"/>
      <c r="D20" s="428">
        <v>24680.297364440197</v>
      </c>
      <c r="E20" s="96"/>
      <c r="F20" s="66">
        <f t="shared" si="1"/>
        <v>6.1709686326216096E-2</v>
      </c>
      <c r="G20" s="10"/>
      <c r="H20" s="74">
        <f>SUMIFS('Exhibit 4.1'!Q:Q,'Exhibit 4.1'!B:B,$B20)</f>
        <v>1.1403737665030582</v>
      </c>
      <c r="I20" s="10"/>
      <c r="J20" s="96">
        <f t="shared" si="0"/>
        <v>28144.763663902169</v>
      </c>
      <c r="K20" s="96"/>
      <c r="L20" s="66">
        <f t="shared" si="2"/>
        <v>-8.8678434122414496E-3</v>
      </c>
      <c r="M20" s="66"/>
      <c r="N20" s="145"/>
    </row>
    <row r="21" spans="1:14">
      <c r="A21" s="10"/>
      <c r="B21" s="274">
        <v>2001</v>
      </c>
      <c r="C21" s="10"/>
      <c r="D21" s="428">
        <v>27156.851580131141</v>
      </c>
      <c r="E21" s="96"/>
      <c r="F21" s="66">
        <f t="shared" si="1"/>
        <v>0.10034539613202575</v>
      </c>
      <c r="G21" s="10"/>
      <c r="H21" s="74">
        <f>SUMIFS('Exhibit 4.1'!Q:Q,'Exhibit 4.1'!B:B,$B21)</f>
        <v>1.1415221377736584</v>
      </c>
      <c r="I21" s="10"/>
      <c r="J21" s="96">
        <f t="shared" si="0"/>
        <v>31000.147270953254</v>
      </c>
      <c r="K21" s="96"/>
      <c r="L21" s="66">
        <f t="shared" si="2"/>
        <v>0.10145345831108665</v>
      </c>
      <c r="M21" s="66"/>
      <c r="N21" s="145"/>
    </row>
    <row r="22" spans="1:14">
      <c r="A22" s="10"/>
      <c r="B22" s="274">
        <v>2002</v>
      </c>
      <c r="C22" s="10"/>
      <c r="D22" s="428">
        <v>26267.29506231195</v>
      </c>
      <c r="E22" s="96"/>
      <c r="F22" s="66">
        <f t="shared" si="1"/>
        <v>-3.2756246253156207E-2</v>
      </c>
      <c r="G22" s="10"/>
      <c r="H22" s="74">
        <f>SUMIFS('Exhibit 4.1'!Q:Q,'Exhibit 4.1'!B:B,$B22)</f>
        <v>1.1449891649651729</v>
      </c>
      <c r="I22" s="10"/>
      <c r="J22" s="96">
        <f t="shared" si="0"/>
        <v>30075.76823929037</v>
      </c>
      <c r="K22" s="96"/>
      <c r="L22" s="66">
        <f t="shared" si="2"/>
        <v>-2.9818536782533767E-2</v>
      </c>
      <c r="M22" s="66"/>
      <c r="N22" s="145"/>
    </row>
    <row r="23" spans="1:14">
      <c r="A23" s="10"/>
      <c r="B23" s="274">
        <v>2003</v>
      </c>
      <c r="C23" s="10"/>
      <c r="D23" s="428">
        <v>25888.922359976033</v>
      </c>
      <c r="E23" s="96"/>
      <c r="F23" s="66">
        <f t="shared" si="1"/>
        <v>-1.4404707505600856E-2</v>
      </c>
      <c r="G23" s="10"/>
      <c r="H23" s="74">
        <f>SUMIFS('Exhibit 4.1'!Q:Q,'Exhibit 4.1'!B:B,$B23)</f>
        <v>1.0540099440907817</v>
      </c>
      <c r="I23" s="10"/>
      <c r="J23" s="96">
        <f t="shared" si="0"/>
        <v>27287.181609208928</v>
      </c>
      <c r="K23" s="96"/>
      <c r="L23" s="66">
        <f t="shared" si="2"/>
        <v>-9.2718716539333057E-2</v>
      </c>
      <c r="M23" s="66"/>
      <c r="N23" s="145"/>
    </row>
    <row r="24" spans="1:14">
      <c r="A24" s="10"/>
      <c r="B24" s="274">
        <v>2004</v>
      </c>
      <c r="C24" s="10"/>
      <c r="D24" s="428">
        <v>21110.679271505909</v>
      </c>
      <c r="E24" s="96"/>
      <c r="F24" s="66">
        <f t="shared" si="1"/>
        <v>-0.18456709097545254</v>
      </c>
      <c r="G24" s="10"/>
      <c r="H24" s="74">
        <f>SUMIFS('Exhibit 4.1'!Q:Q,'Exhibit 4.1'!B:B,$B24)</f>
        <v>1.097970279205861</v>
      </c>
      <c r="I24" s="10"/>
      <c r="J24" s="96">
        <f t="shared" si="0"/>
        <v>23178.898413960724</v>
      </c>
      <c r="K24" s="96"/>
      <c r="L24" s="66">
        <f t="shared" si="2"/>
        <v>-0.15055725630021588</v>
      </c>
      <c r="M24" s="66"/>
      <c r="N24" s="145"/>
    </row>
    <row r="25" spans="1:14">
      <c r="A25" s="10"/>
      <c r="B25" s="274">
        <v>2005</v>
      </c>
      <c r="C25" s="10"/>
      <c r="D25" s="428">
        <v>19084.086369253768</v>
      </c>
      <c r="E25" s="96"/>
      <c r="F25" s="66">
        <f t="shared" si="1"/>
        <v>-9.5998469598632452E-2</v>
      </c>
      <c r="G25" s="10"/>
      <c r="H25" s="74">
        <f>SUMIFS('Exhibit 4.1'!Q:Q,'Exhibit 4.1'!B:B,$B25)</f>
        <v>1.5807396427472968</v>
      </c>
      <c r="I25" s="10"/>
      <c r="J25" s="96">
        <f t="shared" si="0"/>
        <v>30166.971869492758</v>
      </c>
      <c r="K25" s="96"/>
      <c r="L25" s="66">
        <f t="shared" si="2"/>
        <v>0.3014842781019782</v>
      </c>
      <c r="M25" s="66"/>
      <c r="N25" s="145"/>
    </row>
    <row r="26" spans="1:14">
      <c r="A26" s="10"/>
      <c r="B26" s="274">
        <v>2006</v>
      </c>
      <c r="C26" s="10"/>
      <c r="D26" s="428">
        <v>20801.328290874859</v>
      </c>
      <c r="E26" s="96"/>
      <c r="F26" s="66">
        <f t="shared" si="1"/>
        <v>8.9982925480138531E-2</v>
      </c>
      <c r="G26" s="10"/>
      <c r="H26" s="74">
        <f>SUMIFS('Exhibit 4.1'!Q:Q,'Exhibit 4.1'!B:B,$B26)</f>
        <v>1.4646893742469616</v>
      </c>
      <c r="I26" s="10"/>
      <c r="J26" s="96">
        <f t="shared" si="0"/>
        <v>30467.484517867117</v>
      </c>
      <c r="K26" s="96"/>
      <c r="L26" s="66">
        <f t="shared" si="2"/>
        <v>9.9616444658225944E-3</v>
      </c>
      <c r="M26" s="66"/>
      <c r="N26" s="145"/>
    </row>
    <row r="27" spans="1:14">
      <c r="A27" s="10"/>
      <c r="B27" s="274">
        <v>2007</v>
      </c>
      <c r="C27" s="10"/>
      <c r="D27" s="428">
        <v>22622.602808620686</v>
      </c>
      <c r="E27" s="96"/>
      <c r="F27" s="66">
        <f t="shared" si="1"/>
        <v>8.7555683573571796E-2</v>
      </c>
      <c r="G27" s="10"/>
      <c r="H27" s="74">
        <f>SUMIFS('Exhibit 4.1'!Q:Q,'Exhibit 4.1'!B:B,$B27)</f>
        <v>1.4119719880992869</v>
      </c>
      <c r="I27" s="10"/>
      <c r="J27" s="96">
        <f t="shared" si="0"/>
        <v>31942.481463668661</v>
      </c>
      <c r="K27" s="96"/>
      <c r="L27" s="66">
        <f t="shared" si="2"/>
        <v>4.8412166909826748E-2</v>
      </c>
      <c r="M27" s="66"/>
      <c r="N27" s="145"/>
    </row>
    <row r="28" spans="1:14">
      <c r="A28" s="10"/>
      <c r="B28" s="274">
        <v>2008</v>
      </c>
      <c r="C28" s="10"/>
      <c r="D28" s="428">
        <v>24727.890688905787</v>
      </c>
      <c r="E28" s="96"/>
      <c r="F28" s="66">
        <f t="shared" si="1"/>
        <v>9.3061258162692395E-2</v>
      </c>
      <c r="G28" s="10"/>
      <c r="H28" s="74">
        <f>SUMIFS('Exhibit 4.1'!Q:Q,'Exhibit 4.1'!B:B,$B28)</f>
        <v>1.3339618963979356</v>
      </c>
      <c r="I28" s="10"/>
      <c r="J28" s="96">
        <f t="shared" si="0"/>
        <v>32986.06395729362</v>
      </c>
      <c r="K28" s="96"/>
      <c r="L28" s="66">
        <f t="shared" si="2"/>
        <v>3.2670676973294288E-2</v>
      </c>
      <c r="M28" s="66"/>
      <c r="N28" s="145"/>
    </row>
    <row r="29" spans="1:14">
      <c r="A29" s="10"/>
      <c r="B29" s="274">
        <v>2009</v>
      </c>
      <c r="C29" s="10"/>
      <c r="D29" s="428">
        <v>25919.547939456406</v>
      </c>
      <c r="E29" s="96"/>
      <c r="F29" s="66">
        <f t="shared" si="1"/>
        <v>4.819081682067039E-2</v>
      </c>
      <c r="G29" s="10"/>
      <c r="H29" s="74">
        <f>SUMIFS('Exhibit 4.1'!Q:Q,'Exhibit 4.1'!B:B,$B29)</f>
        <v>1.3259953165361862</v>
      </c>
      <c r="I29" s="10"/>
      <c r="J29" s="96">
        <f t="shared" si="0"/>
        <v>34369.199174454348</v>
      </c>
      <c r="K29" s="96"/>
      <c r="L29" s="66">
        <f t="shared" si="2"/>
        <v>4.1930895997517093E-2</v>
      </c>
      <c r="M29" s="66"/>
      <c r="N29" s="145"/>
    </row>
    <row r="30" spans="1:14">
      <c r="A30" s="10"/>
      <c r="B30" s="274">
        <v>2010</v>
      </c>
      <c r="C30" s="10"/>
      <c r="D30" s="428">
        <v>25453.593357489262</v>
      </c>
      <c r="E30" s="96"/>
      <c r="F30" s="66">
        <f t="shared" si="1"/>
        <v>-1.7976956351844264E-2</v>
      </c>
      <c r="G30" s="10"/>
      <c r="H30" s="74">
        <f>SUMIFS('Exhibit 4.1'!Q:Q,'Exhibit 4.1'!B:B,$B30)</f>
        <v>1.3011945484428653</v>
      </c>
      <c r="I30" s="10"/>
      <c r="J30" s="96">
        <f t="shared" si="0"/>
        <v>33120.076915046557</v>
      </c>
      <c r="K30" s="96"/>
      <c r="L30" s="66">
        <f t="shared" si="2"/>
        <v>-3.6344235228391031E-2</v>
      </c>
      <c r="M30" s="66"/>
      <c r="N30" s="145"/>
    </row>
    <row r="31" spans="1:14">
      <c r="A31" s="10"/>
      <c r="B31" s="274">
        <v>2011</v>
      </c>
      <c r="C31" s="10"/>
      <c r="D31" s="428">
        <v>25173.64364089728</v>
      </c>
      <c r="E31" s="96"/>
      <c r="F31" s="66">
        <f t="shared" si="1"/>
        <v>-1.0998435963840536E-2</v>
      </c>
      <c r="G31" s="10"/>
      <c r="H31" s="74">
        <f>SUMIFS('Exhibit 4.1'!Q:Q,'Exhibit 4.1'!B:B,$B31)</f>
        <v>1.2832293377148574</v>
      </c>
      <c r="I31" s="10"/>
      <c r="J31" s="96">
        <f t="shared" si="0"/>
        <v>32303.558057178449</v>
      </c>
      <c r="K31" s="96"/>
      <c r="L31" s="66">
        <f t="shared" si="2"/>
        <v>-2.465328990516813E-2</v>
      </c>
      <c r="M31" s="66"/>
      <c r="N31" s="145"/>
    </row>
    <row r="32" spans="1:14">
      <c r="A32" s="10"/>
      <c r="B32" s="274">
        <v>2012</v>
      </c>
      <c r="C32" s="10"/>
      <c r="D32" s="428">
        <v>24781.132380518073</v>
      </c>
      <c r="E32" s="96"/>
      <c r="F32" s="66">
        <f t="shared" si="1"/>
        <v>-1.5592151298333801E-2</v>
      </c>
      <c r="G32" s="10"/>
      <c r="H32" s="74">
        <f>SUMIFS('Exhibit 4.1'!Q:Q,'Exhibit 4.1'!B:B,$B32)</f>
        <v>1.2673340647635467</v>
      </c>
      <c r="I32" s="10"/>
      <c r="J32" s="96">
        <f t="shared" si="0"/>
        <v>31405.973229245516</v>
      </c>
      <c r="K32" s="96"/>
      <c r="L32" s="66">
        <f t="shared" si="2"/>
        <v>-2.778594315660754E-2</v>
      </c>
      <c r="M32" s="66"/>
      <c r="N32" s="145"/>
    </row>
    <row r="33" spans="1:14">
      <c r="A33" s="10"/>
      <c r="B33" s="274">
        <v>2013</v>
      </c>
      <c r="C33" s="10"/>
      <c r="D33" s="428">
        <v>24442.727623729941</v>
      </c>
      <c r="E33" s="96"/>
      <c r="F33" s="66">
        <f t="shared" si="1"/>
        <v>-1.3655742263584902E-2</v>
      </c>
      <c r="G33" s="10"/>
      <c r="H33" s="74">
        <f>SUMIFS('Exhibit 4.1'!Q:Q,'Exhibit 4.1'!B:B,$B33)</f>
        <v>1.2418217739923141</v>
      </c>
      <c r="I33" s="10"/>
      <c r="J33" s="96">
        <f t="shared" si="0"/>
        <v>30353.511378911255</v>
      </c>
      <c r="K33" s="96"/>
      <c r="L33" s="66">
        <f t="shared" si="2"/>
        <v>-3.3511518418865571E-2</v>
      </c>
      <c r="M33" s="66"/>
      <c r="N33" s="145"/>
    </row>
    <row r="34" spans="1:14">
      <c r="A34" s="10"/>
      <c r="B34" s="274">
        <v>2014</v>
      </c>
      <c r="C34" s="10"/>
      <c r="D34" s="428">
        <v>25227.470322102905</v>
      </c>
      <c r="E34" s="96"/>
      <c r="F34" s="66">
        <f t="shared" si="1"/>
        <v>3.2105365262553809E-2</v>
      </c>
      <c r="G34" s="10"/>
      <c r="H34" s="74">
        <f>SUMIFS('Exhibit 4.1'!Q:Q,'Exhibit 4.1'!B:B,$B34)</f>
        <v>1.154273256386156</v>
      </c>
      <c r="I34" s="10"/>
      <c r="J34" s="96">
        <f t="shared" si="0"/>
        <v>29119.394319078827</v>
      </c>
      <c r="K34" s="96"/>
      <c r="L34" s="66">
        <f t="shared" si="2"/>
        <v>-4.0658131589014657E-2</v>
      </c>
      <c r="M34" s="66"/>
      <c r="N34" s="145"/>
    </row>
    <row r="35" spans="1:14">
      <c r="A35" s="10"/>
      <c r="B35" s="274">
        <v>2015</v>
      </c>
      <c r="C35" s="10"/>
      <c r="D35" s="428">
        <v>25484.756234752007</v>
      </c>
      <c r="E35" s="96"/>
      <c r="F35" s="66">
        <f t="shared" si="1"/>
        <v>1.0198640980014551E-2</v>
      </c>
      <c r="G35" s="10"/>
      <c r="H35" s="74">
        <f>SUMIFS('Exhibit 4.1'!Q:Q,'Exhibit 4.1'!B:B,$B35)</f>
        <v>1.1378601083405868</v>
      </c>
      <c r="I35" s="10"/>
      <c r="J35" s="96">
        <f t="shared" si="0"/>
        <v>28998.087490308364</v>
      </c>
      <c r="K35" s="66"/>
      <c r="L35" s="66">
        <f t="shared" si="2"/>
        <v>-4.1658431298821075E-3</v>
      </c>
      <c r="M35" s="66"/>
      <c r="N35" s="145"/>
    </row>
    <row r="36" spans="1:14">
      <c r="A36" s="238"/>
      <c r="B36" s="274">
        <v>2016</v>
      </c>
      <c r="C36" s="238"/>
      <c r="D36" s="428">
        <v>24941.321254070128</v>
      </c>
      <c r="E36" s="96"/>
      <c r="F36" s="66">
        <f t="shared" si="1"/>
        <v>-2.1323923041525084E-2</v>
      </c>
      <c r="G36" s="238"/>
      <c r="H36" s="74">
        <f>SUMIFS('Exhibit 4.1'!Q:Q,'Exhibit 4.1'!B:B,$B36)</f>
        <v>1.1235605531802617</v>
      </c>
      <c r="I36" s="238"/>
      <c r="J36" s="96">
        <f>H36*D36</f>
        <v>28023.084705269652</v>
      </c>
      <c r="K36" s="66"/>
      <c r="L36" s="66">
        <f t="shared" si="2"/>
        <v>-3.3623003081309166E-2</v>
      </c>
      <c r="M36" s="66"/>
      <c r="N36" s="145"/>
    </row>
    <row r="37" spans="1:14">
      <c r="A37" s="317"/>
      <c r="B37" s="319">
        <v>2017</v>
      </c>
      <c r="C37" s="317"/>
      <c r="D37" s="428">
        <v>25053.48564786444</v>
      </c>
      <c r="E37" s="96"/>
      <c r="F37" s="66">
        <f t="shared" si="1"/>
        <v>4.4971311925188218E-3</v>
      </c>
      <c r="G37" s="317"/>
      <c r="H37" s="74">
        <f>SUMIFS('Exhibit 4.1'!Q:Q,'Exhibit 4.1'!B:B,$B37)</f>
        <v>1.0942314304571468</v>
      </c>
      <c r="I37" s="317"/>
      <c r="J37" s="96">
        <f>H37*D37</f>
        <v>27414.311438400302</v>
      </c>
      <c r="K37" s="66"/>
      <c r="L37" s="66">
        <f t="shared" si="2"/>
        <v>-2.1723991961344336E-2</v>
      </c>
      <c r="M37" s="66"/>
      <c r="N37" s="145"/>
    </row>
    <row r="38" spans="1:14">
      <c r="A38" s="375"/>
      <c r="B38" s="377">
        <v>2018</v>
      </c>
      <c r="C38" s="375"/>
      <c r="D38" s="428">
        <v>26450.124681669171</v>
      </c>
      <c r="E38" s="96"/>
      <c r="F38" s="66">
        <f>+D38/D37-1</f>
        <v>5.5746296281283358E-2</v>
      </c>
      <c r="G38" s="375"/>
      <c r="H38" s="74">
        <f>SUMIFS('Exhibit 4.1'!Q:Q,'Exhibit 4.1'!B:B,$B38)</f>
        <v>1.0670302680518617</v>
      </c>
      <c r="I38" s="375"/>
      <c r="J38" s="96">
        <f>H38*D38</f>
        <v>28223.083629086621</v>
      </c>
      <c r="K38" s="66"/>
      <c r="L38" s="66">
        <f>+J38/J37-1</f>
        <v>2.9501823983564934E-2</v>
      </c>
      <c r="M38" s="66"/>
      <c r="N38" s="145"/>
    </row>
    <row r="39" spans="1:14">
      <c r="A39" s="10"/>
      <c r="B39" s="10"/>
      <c r="C39" s="10"/>
      <c r="D39" s="10"/>
      <c r="E39" s="10"/>
      <c r="F39" s="10"/>
      <c r="G39" s="10"/>
      <c r="H39" s="10"/>
      <c r="I39" s="10"/>
      <c r="J39" s="10"/>
      <c r="K39" s="10"/>
      <c r="L39" s="10"/>
      <c r="M39" s="10"/>
    </row>
    <row r="40" spans="1:14">
      <c r="A40" s="10"/>
      <c r="B40" s="71" t="s">
        <v>57</v>
      </c>
      <c r="C40" s="60" t="s">
        <v>504</v>
      </c>
      <c r="D40" s="60"/>
      <c r="E40" s="60"/>
      <c r="F40" s="60"/>
      <c r="G40" s="60"/>
      <c r="H40" s="60"/>
      <c r="I40" s="60"/>
      <c r="J40" s="60"/>
      <c r="K40" s="99"/>
      <c r="L40" s="99">
        <f>LOGEST(J10:J38,B10:B38)-1</f>
        <v>1.3505994565174984E-2</v>
      </c>
      <c r="M40" s="66"/>
    </row>
    <row r="41" spans="1:14">
      <c r="A41" s="10"/>
      <c r="B41" s="71" t="s">
        <v>146</v>
      </c>
      <c r="C41" s="60" t="s">
        <v>505</v>
      </c>
      <c r="D41" s="60"/>
      <c r="E41" s="60"/>
      <c r="F41" s="60"/>
      <c r="G41" s="60"/>
      <c r="H41" s="60"/>
      <c r="I41" s="60"/>
      <c r="J41" s="60"/>
      <c r="K41" s="99"/>
      <c r="L41" s="99">
        <f>LOGEST(J25:J38,B25:B38)-1</f>
        <v>-1.1420536858918973E-2</v>
      </c>
      <c r="M41" s="66"/>
    </row>
    <row r="42" spans="1:14">
      <c r="A42" s="368"/>
      <c r="B42" s="71" t="s">
        <v>233</v>
      </c>
      <c r="C42" s="60" t="s">
        <v>506</v>
      </c>
      <c r="D42" s="60"/>
      <c r="E42" s="60"/>
      <c r="F42" s="60"/>
      <c r="G42" s="60"/>
      <c r="H42" s="60"/>
      <c r="I42" s="60"/>
      <c r="J42" s="60"/>
      <c r="K42" s="99"/>
      <c r="L42" s="99">
        <f>LOGEST(J34:J38,B34:B38)-1</f>
        <v>-1.1799148708602991E-2</v>
      </c>
      <c r="M42" s="66"/>
    </row>
    <row r="43" spans="1:14">
      <c r="A43" s="10"/>
      <c r="B43" s="71"/>
      <c r="C43" s="10"/>
      <c r="D43" s="10"/>
      <c r="E43" s="10"/>
      <c r="F43" s="10"/>
      <c r="G43" s="10"/>
      <c r="H43" s="10"/>
      <c r="I43" s="10"/>
      <c r="J43" s="10"/>
      <c r="K43" s="66"/>
      <c r="L43" s="66"/>
      <c r="M43" s="66"/>
    </row>
    <row r="44" spans="1:14">
      <c r="A44" s="10"/>
      <c r="B44" s="71"/>
      <c r="C44" s="10"/>
      <c r="D44" s="10"/>
      <c r="E44" s="10"/>
      <c r="F44" s="10"/>
      <c r="G44" s="10"/>
      <c r="H44" s="10"/>
      <c r="I44" s="10"/>
      <c r="J44" s="66"/>
      <c r="K44" s="66"/>
      <c r="L44" s="484">
        <v>-5.0000000000000001E-3</v>
      </c>
      <c r="M44" s="66"/>
    </row>
    <row r="45" spans="1:14">
      <c r="A45" s="10"/>
      <c r="B45" s="71"/>
      <c r="C45" s="10"/>
      <c r="D45" s="10"/>
      <c r="E45" s="10"/>
      <c r="F45" s="10"/>
      <c r="G45" s="10"/>
      <c r="H45" s="10"/>
      <c r="I45" s="10"/>
      <c r="J45" s="66"/>
      <c r="K45" s="66"/>
      <c r="L45" s="66"/>
      <c r="M45" s="66"/>
    </row>
    <row r="46" spans="1:14">
      <c r="A46" s="10"/>
      <c r="B46" s="71"/>
      <c r="C46" s="10"/>
      <c r="D46" s="10"/>
      <c r="E46" s="10"/>
      <c r="F46" s="10"/>
      <c r="G46" s="10"/>
      <c r="H46" s="10"/>
      <c r="I46" s="10"/>
      <c r="J46" s="66"/>
      <c r="K46" s="66"/>
      <c r="L46" s="66"/>
      <c r="M46" s="66"/>
    </row>
    <row r="47" spans="1:14">
      <c r="A47" s="10"/>
      <c r="B47" s="65" t="s">
        <v>389</v>
      </c>
      <c r="C47" s="10"/>
      <c r="D47" s="10"/>
      <c r="E47" s="10"/>
      <c r="F47" s="10"/>
      <c r="G47" s="10"/>
      <c r="H47" s="10"/>
      <c r="I47" s="10"/>
      <c r="J47" s="66"/>
      <c r="K47" s="66"/>
      <c r="L47" s="66"/>
      <c r="M47" s="66"/>
    </row>
    <row r="48" spans="1:14">
      <c r="A48" s="10"/>
      <c r="B48" s="10"/>
      <c r="C48" s="10"/>
      <c r="D48" s="10"/>
      <c r="E48" s="10"/>
      <c r="F48" s="10"/>
      <c r="G48" s="10"/>
      <c r="H48" s="10"/>
      <c r="I48" s="10"/>
      <c r="J48" s="66"/>
      <c r="K48" s="66"/>
      <c r="L48" s="66"/>
      <c r="M48" s="66"/>
    </row>
    <row r="49" spans="1:13">
      <c r="A49" s="10"/>
      <c r="B49" s="10" t="s">
        <v>222</v>
      </c>
      <c r="C49" s="10"/>
      <c r="D49" s="10"/>
      <c r="E49" s="10"/>
      <c r="F49" s="10"/>
      <c r="G49" s="10"/>
      <c r="H49" s="10"/>
      <c r="I49" s="10"/>
      <c r="J49" s="66"/>
      <c r="K49" s="66"/>
      <c r="L49" s="66"/>
      <c r="M49" s="66"/>
    </row>
  </sheetData>
  <mergeCells count="2">
    <mergeCell ref="A1:M1"/>
    <mergeCell ref="A2:M2"/>
  </mergeCells>
  <pageMargins left="0.7" right="0.7" top="0.75" bottom="0.75" header="0.3" footer="0.3"/>
  <pageSetup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T48"/>
  <sheetViews>
    <sheetView zoomScaleNormal="100" workbookViewId="0">
      <selection sqref="A1:M1"/>
    </sheetView>
  </sheetViews>
  <sheetFormatPr defaultColWidth="9.140625" defaultRowHeight="12.75"/>
  <cols>
    <col min="1" max="1" width="4" style="270" customWidth="1"/>
    <col min="2" max="2" width="9.140625" style="270"/>
    <col min="3" max="3" width="5" style="270" customWidth="1"/>
    <col min="4" max="4" width="9.140625" style="270"/>
    <col min="5" max="5" width="5" style="270" customWidth="1"/>
    <col min="6" max="6" width="9.140625" style="270"/>
    <col min="7" max="7" width="5" style="270" customWidth="1"/>
    <col min="8" max="8" width="9.140625" style="270"/>
    <col min="9" max="9" width="5" style="270" customWidth="1"/>
    <col min="10" max="10" width="9.140625" style="270"/>
    <col min="11" max="11" width="5" style="270" customWidth="1"/>
    <col min="12" max="12" width="9.140625" style="270"/>
    <col min="13" max="13" width="5" style="270" customWidth="1"/>
    <col min="14" max="16384" width="9.140625" style="270"/>
  </cols>
  <sheetData>
    <row r="1" spans="1:20">
      <c r="A1" s="547" t="s">
        <v>224</v>
      </c>
      <c r="B1" s="547"/>
      <c r="C1" s="547"/>
      <c r="D1" s="547"/>
      <c r="E1" s="547"/>
      <c r="F1" s="547"/>
      <c r="G1" s="547"/>
      <c r="H1" s="547"/>
      <c r="I1" s="547"/>
      <c r="J1" s="547"/>
      <c r="K1" s="547"/>
      <c r="L1" s="547"/>
      <c r="M1" s="547"/>
    </row>
    <row r="2" spans="1:20">
      <c r="A2" s="547" t="s">
        <v>489</v>
      </c>
      <c r="B2" s="547"/>
      <c r="C2" s="547"/>
      <c r="D2" s="547"/>
      <c r="E2" s="547"/>
      <c r="F2" s="547"/>
      <c r="G2" s="547"/>
      <c r="H2" s="547"/>
      <c r="I2" s="547"/>
      <c r="J2" s="547"/>
      <c r="K2" s="547"/>
      <c r="L2" s="547"/>
      <c r="M2" s="547"/>
    </row>
    <row r="4" spans="1:20">
      <c r="D4" s="39" t="s">
        <v>47</v>
      </c>
      <c r="E4" s="39"/>
      <c r="F4" s="39" t="s">
        <v>48</v>
      </c>
      <c r="H4" s="39" t="s">
        <v>49</v>
      </c>
      <c r="J4" s="39" t="s">
        <v>50</v>
      </c>
      <c r="K4" s="39"/>
      <c r="L4" s="39" t="s">
        <v>56</v>
      </c>
    </row>
    <row r="5" spans="1:20">
      <c r="D5" s="274" t="s">
        <v>217</v>
      </c>
      <c r="E5" s="274"/>
      <c r="F5" s="274"/>
      <c r="G5" s="72"/>
      <c r="H5" s="274" t="s">
        <v>5</v>
      </c>
      <c r="I5" s="72"/>
      <c r="J5" s="274" t="s">
        <v>62</v>
      </c>
      <c r="K5" s="274"/>
      <c r="L5" s="274"/>
      <c r="M5" s="274"/>
    </row>
    <row r="6" spans="1:20">
      <c r="B6" s="274" t="s">
        <v>218</v>
      </c>
      <c r="D6" s="274" t="s">
        <v>62</v>
      </c>
      <c r="E6" s="274"/>
      <c r="F6" s="274" t="s">
        <v>72</v>
      </c>
      <c r="G6" s="72"/>
      <c r="H6" s="274" t="s">
        <v>157</v>
      </c>
      <c r="I6" s="72"/>
      <c r="J6" s="274" t="s">
        <v>131</v>
      </c>
      <c r="K6" s="274"/>
      <c r="L6" s="274" t="s">
        <v>72</v>
      </c>
      <c r="M6" s="274"/>
    </row>
    <row r="7" spans="1:20">
      <c r="B7" s="38" t="s">
        <v>8</v>
      </c>
      <c r="C7" s="269"/>
      <c r="D7" s="38" t="s">
        <v>226</v>
      </c>
      <c r="E7" s="38"/>
      <c r="F7" s="38" t="s">
        <v>220</v>
      </c>
      <c r="G7" s="100"/>
      <c r="H7" s="38" t="s">
        <v>227</v>
      </c>
      <c r="I7" s="100"/>
      <c r="J7" s="38" t="s">
        <v>219</v>
      </c>
      <c r="K7" s="38"/>
      <c r="L7" s="38" t="s">
        <v>220</v>
      </c>
      <c r="M7" s="38"/>
    </row>
    <row r="8" spans="1:20">
      <c r="B8" s="274"/>
      <c r="D8" s="96"/>
      <c r="E8" s="96"/>
      <c r="F8" s="96"/>
      <c r="H8" s="74"/>
      <c r="J8" s="97" t="s">
        <v>221</v>
      </c>
      <c r="L8" s="274"/>
    </row>
    <row r="9" spans="1:20">
      <c r="B9" s="274"/>
      <c r="D9" s="96"/>
      <c r="E9" s="96"/>
      <c r="F9" s="96"/>
      <c r="H9" s="74"/>
      <c r="L9" s="274"/>
    </row>
    <row r="10" spans="1:20">
      <c r="B10" s="274">
        <v>1990</v>
      </c>
      <c r="D10" s="428">
        <v>8776.121699877016</v>
      </c>
      <c r="E10" s="96"/>
      <c r="F10" s="98" t="s">
        <v>34</v>
      </c>
      <c r="H10" s="434">
        <v>0.9094355406109853</v>
      </c>
      <c r="J10" s="96">
        <f t="shared" ref="J10:J35" si="0">H10*D10</f>
        <v>7981.3169825954537</v>
      </c>
      <c r="K10" s="98"/>
      <c r="L10" s="98" t="s">
        <v>34</v>
      </c>
      <c r="M10" s="98"/>
    </row>
    <row r="11" spans="1:20">
      <c r="B11" s="274">
        <v>1991</v>
      </c>
      <c r="D11" s="428">
        <v>9430.4569039340131</v>
      </c>
      <c r="E11" s="96"/>
      <c r="F11" s="66">
        <f t="shared" ref="F11:F29" si="1">+D11/D10-1</f>
        <v>7.4558583669842138E-2</v>
      </c>
      <c r="H11" s="485">
        <v>0.89210724939866548</v>
      </c>
      <c r="J11" s="96">
        <f t="shared" si="0"/>
        <v>8412.9789691412279</v>
      </c>
      <c r="K11" s="66"/>
      <c r="L11" s="66">
        <f t="shared" ref="L11:L29" si="2">+J11/J10-1</f>
        <v>5.4084054985797714E-2</v>
      </c>
      <c r="M11" s="66"/>
      <c r="N11" s="96"/>
      <c r="P11" s="96"/>
      <c r="R11" s="96"/>
      <c r="T11" s="96"/>
    </row>
    <row r="12" spans="1:20">
      <c r="B12" s="274">
        <v>1992</v>
      </c>
      <c r="D12" s="428">
        <v>9520.8478672132442</v>
      </c>
      <c r="E12" s="96"/>
      <c r="F12" s="66">
        <f t="shared" si="1"/>
        <v>9.5850035899665009E-3</v>
      </c>
      <c r="H12" s="485">
        <v>0.86181447075174178</v>
      </c>
      <c r="J12" s="96">
        <f t="shared" si="0"/>
        <v>8205.2044657902316</v>
      </c>
      <c r="K12" s="66"/>
      <c r="L12" s="66">
        <f t="shared" si="2"/>
        <v>-2.4696900362298879E-2</v>
      </c>
      <c r="M12" s="66"/>
      <c r="N12" s="96"/>
      <c r="P12" s="96"/>
      <c r="R12" s="96"/>
      <c r="T12" s="96"/>
    </row>
    <row r="13" spans="1:20">
      <c r="B13" s="274">
        <v>1993</v>
      </c>
      <c r="D13" s="428">
        <v>10561.036059427719</v>
      </c>
      <c r="E13" s="96"/>
      <c r="F13" s="66">
        <f t="shared" si="1"/>
        <v>0.10925373524731441</v>
      </c>
      <c r="H13" s="485">
        <v>0.84507273480256828</v>
      </c>
      <c r="J13" s="96">
        <f t="shared" si="0"/>
        <v>8924.8436250891209</v>
      </c>
      <c r="K13" s="66"/>
      <c r="L13" s="66">
        <f t="shared" si="2"/>
        <v>8.7705207383833583E-2</v>
      </c>
      <c r="M13" s="66"/>
      <c r="N13" s="96"/>
      <c r="P13" s="96"/>
      <c r="R13" s="96"/>
      <c r="T13" s="96"/>
    </row>
    <row r="14" spans="1:20">
      <c r="B14" s="274">
        <v>1994</v>
      </c>
      <c r="D14" s="428">
        <v>11635.732499669813</v>
      </c>
      <c r="E14" s="96"/>
      <c r="F14" s="66">
        <f t="shared" si="1"/>
        <v>0.10176051233938588</v>
      </c>
      <c r="H14" s="485">
        <v>0.88805644274427686</v>
      </c>
      <c r="J14" s="96">
        <f t="shared" si="0"/>
        <v>10333.187212380748</v>
      </c>
      <c r="K14" s="66"/>
      <c r="L14" s="66">
        <f t="shared" si="2"/>
        <v>0.15780036563694577</v>
      </c>
      <c r="M14" s="66"/>
      <c r="N14" s="96"/>
      <c r="P14" s="96"/>
      <c r="R14" s="96"/>
      <c r="T14" s="96"/>
    </row>
    <row r="15" spans="1:20">
      <c r="B15" s="274">
        <v>1995</v>
      </c>
      <c r="D15" s="428">
        <v>13319.944281551421</v>
      </c>
      <c r="E15" s="96"/>
      <c r="F15" s="66">
        <f t="shared" si="1"/>
        <v>0.14474480071876861</v>
      </c>
      <c r="H15" s="485">
        <v>0.88013522571286118</v>
      </c>
      <c r="J15" s="96">
        <f t="shared" si="0"/>
        <v>11723.352166725994</v>
      </c>
      <c r="K15" s="66"/>
      <c r="L15" s="66">
        <f t="shared" si="2"/>
        <v>0.13453399476587569</v>
      </c>
      <c r="M15" s="66"/>
      <c r="N15" s="96"/>
      <c r="P15" s="96"/>
      <c r="R15" s="96"/>
      <c r="T15" s="96"/>
    </row>
    <row r="16" spans="1:20">
      <c r="B16" s="274">
        <v>1996</v>
      </c>
      <c r="D16" s="428">
        <v>14268.810968198339</v>
      </c>
      <c r="E16" s="96"/>
      <c r="F16" s="66">
        <f t="shared" si="1"/>
        <v>7.1236535723436134E-2</v>
      </c>
      <c r="H16" s="485">
        <v>0.87142101555728824</v>
      </c>
      <c r="J16" s="96">
        <f t="shared" si="0"/>
        <v>12434.141744702369</v>
      </c>
      <c r="K16" s="66"/>
      <c r="L16" s="66">
        <f t="shared" si="2"/>
        <v>6.0630233389540766E-2</v>
      </c>
      <c r="M16" s="66"/>
      <c r="N16" s="96"/>
      <c r="P16" s="96"/>
      <c r="R16" s="96"/>
      <c r="T16" s="96"/>
    </row>
    <row r="17" spans="2:20">
      <c r="B17" s="274">
        <v>1997</v>
      </c>
      <c r="D17" s="428">
        <v>16995.740280855214</v>
      </c>
      <c r="E17" s="96"/>
      <c r="F17" s="66">
        <f t="shared" si="1"/>
        <v>0.19111118079386769</v>
      </c>
      <c r="H17" s="485">
        <v>0.86536347125847901</v>
      </c>
      <c r="J17" s="96">
        <f t="shared" si="0"/>
        <v>14707.492806048425</v>
      </c>
      <c r="K17" s="66"/>
      <c r="L17" s="66">
        <f t="shared" si="2"/>
        <v>0.18283136126501298</v>
      </c>
      <c r="M17" s="66"/>
      <c r="N17" s="96"/>
      <c r="P17" s="96"/>
      <c r="R17" s="96"/>
      <c r="T17" s="96"/>
    </row>
    <row r="18" spans="2:20">
      <c r="B18" s="274">
        <v>1998</v>
      </c>
      <c r="D18" s="428">
        <v>20799.814020610807</v>
      </c>
      <c r="E18" s="96"/>
      <c r="F18" s="66">
        <f t="shared" si="1"/>
        <v>0.22382512776102348</v>
      </c>
      <c r="H18" s="485">
        <v>0.76242940248745306</v>
      </c>
      <c r="J18" s="96">
        <f t="shared" si="0"/>
        <v>15858.389775584446</v>
      </c>
      <c r="K18" s="66"/>
      <c r="L18" s="66">
        <f t="shared" si="2"/>
        <v>7.825242444196312E-2</v>
      </c>
      <c r="M18" s="66"/>
      <c r="N18" s="96"/>
      <c r="P18" s="96"/>
      <c r="R18" s="96"/>
      <c r="T18" s="96"/>
    </row>
    <row r="19" spans="2:20">
      <c r="B19" s="274">
        <v>1999</v>
      </c>
      <c r="D19" s="428">
        <v>23582.726876212018</v>
      </c>
      <c r="E19" s="96"/>
      <c r="F19" s="66">
        <f t="shared" si="1"/>
        <v>0.13379508359274683</v>
      </c>
      <c r="H19" s="485">
        <v>0.66059819129875075</v>
      </c>
      <c r="J19" s="96">
        <f t="shared" si="0"/>
        <v>15578.706720318098</v>
      </c>
      <c r="K19" s="66"/>
      <c r="L19" s="66">
        <f t="shared" si="2"/>
        <v>-1.7636283331675218E-2</v>
      </c>
      <c r="M19" s="66"/>
      <c r="N19" s="96"/>
      <c r="P19" s="96"/>
      <c r="R19" s="96"/>
      <c r="T19" s="96"/>
    </row>
    <row r="20" spans="2:20">
      <c r="B20" s="274">
        <v>2000</v>
      </c>
      <c r="D20" s="428">
        <v>26399.325882203961</v>
      </c>
      <c r="E20" s="96"/>
      <c r="F20" s="66">
        <f t="shared" si="1"/>
        <v>0.11943483129735322</v>
      </c>
      <c r="H20" s="485">
        <v>0.60706144266970907</v>
      </c>
      <c r="J20" s="96">
        <f t="shared" si="0"/>
        <v>16026.012855558527</v>
      </c>
      <c r="K20" s="66"/>
      <c r="L20" s="66">
        <f t="shared" si="2"/>
        <v>2.8712661665107442E-2</v>
      </c>
      <c r="M20" s="66"/>
      <c r="N20" s="96"/>
      <c r="P20" s="96"/>
      <c r="R20" s="96"/>
      <c r="T20" s="96"/>
    </row>
    <row r="21" spans="2:20">
      <c r="B21" s="274">
        <v>2001</v>
      </c>
      <c r="D21" s="428">
        <v>31366.280036427495</v>
      </c>
      <c r="E21" s="96"/>
      <c r="F21" s="66">
        <f t="shared" si="1"/>
        <v>0.18814700710110954</v>
      </c>
      <c r="H21" s="485">
        <v>0.55342665210737496</v>
      </c>
      <c r="J21" s="96">
        <f t="shared" si="0"/>
        <v>17358.935349622461</v>
      </c>
      <c r="K21" s="66"/>
      <c r="L21" s="66">
        <f t="shared" si="2"/>
        <v>8.3172433847238381E-2</v>
      </c>
      <c r="M21" s="66"/>
      <c r="N21" s="96"/>
      <c r="P21" s="96"/>
      <c r="R21" s="96"/>
      <c r="T21" s="96"/>
    </row>
    <row r="22" spans="2:20">
      <c r="B22" s="274">
        <v>2002</v>
      </c>
      <c r="D22" s="428">
        <v>31663.088731503707</v>
      </c>
      <c r="E22" s="96"/>
      <c r="F22" s="66">
        <f t="shared" si="1"/>
        <v>9.4626680222045234E-3</v>
      </c>
      <c r="H22" s="485">
        <v>0.57476181051364139</v>
      </c>
      <c r="J22" s="96">
        <f t="shared" si="0"/>
        <v>18198.734205773148</v>
      </c>
      <c r="K22" s="66"/>
      <c r="L22" s="66">
        <f t="shared" si="2"/>
        <v>4.8378477091854055E-2</v>
      </c>
      <c r="M22" s="66"/>
      <c r="N22" s="96"/>
      <c r="P22" s="96"/>
      <c r="R22" s="96"/>
      <c r="T22" s="96"/>
    </row>
    <row r="23" spans="2:20">
      <c r="B23" s="274">
        <v>2003</v>
      </c>
      <c r="D23" s="428">
        <v>30208.788131885205</v>
      </c>
      <c r="E23" s="96"/>
      <c r="F23" s="66">
        <f t="shared" si="1"/>
        <v>-4.5930471658992666E-2</v>
      </c>
      <c r="H23" s="485">
        <v>0.60300664160648931</v>
      </c>
      <c r="J23" s="96">
        <f t="shared" si="0"/>
        <v>18216.09987841007</v>
      </c>
      <c r="K23" s="66"/>
      <c r="L23" s="66">
        <f t="shared" si="2"/>
        <v>9.5422420265989238E-4</v>
      </c>
      <c r="M23" s="66"/>
      <c r="N23" s="96"/>
      <c r="P23" s="96"/>
      <c r="R23" s="96"/>
      <c r="T23" s="96"/>
    </row>
    <row r="24" spans="2:20">
      <c r="B24" s="274">
        <v>2004</v>
      </c>
      <c r="D24" s="428">
        <v>27896.958547712893</v>
      </c>
      <c r="E24" s="96"/>
      <c r="F24" s="66">
        <f t="shared" si="1"/>
        <v>-7.6528378896874361E-2</v>
      </c>
      <c r="H24" s="485">
        <v>0.79762783281281657</v>
      </c>
      <c r="J24" s="96">
        <f t="shared" si="0"/>
        <v>22251.390588481212</v>
      </c>
      <c r="K24" s="66"/>
      <c r="L24" s="66">
        <f t="shared" si="2"/>
        <v>0.22152330833746769</v>
      </c>
      <c r="M24" s="66"/>
      <c r="N24" s="96"/>
      <c r="P24" s="96"/>
      <c r="R24" s="96"/>
      <c r="T24" s="96"/>
    </row>
    <row r="25" spans="2:20">
      <c r="B25" s="274">
        <v>2005</v>
      </c>
      <c r="D25" s="428">
        <v>28716.345216338021</v>
      </c>
      <c r="E25" s="96"/>
      <c r="F25" s="66">
        <f t="shared" si="1"/>
        <v>2.9371899708124483E-2</v>
      </c>
      <c r="H25" s="485">
        <v>0.79762783281281657</v>
      </c>
      <c r="J25" s="96">
        <f t="shared" si="0"/>
        <v>22904.956201212386</v>
      </c>
      <c r="K25" s="66"/>
      <c r="L25" s="66">
        <f t="shared" si="2"/>
        <v>2.9371899708124483E-2</v>
      </c>
      <c r="M25" s="66"/>
      <c r="N25" s="96"/>
      <c r="P25" s="96"/>
      <c r="R25" s="96"/>
      <c r="T25" s="96"/>
    </row>
    <row r="26" spans="2:20">
      <c r="B26" s="274">
        <v>2006</v>
      </c>
      <c r="D26" s="428">
        <v>31351.974854225642</v>
      </c>
      <c r="E26" s="96"/>
      <c r="F26" s="66">
        <f t="shared" si="1"/>
        <v>9.1781513908952839E-2</v>
      </c>
      <c r="H26" s="485">
        <v>0.7944476588345023</v>
      </c>
      <c r="J26" s="96">
        <f t="shared" si="0"/>
        <v>24907.50302277775</v>
      </c>
      <c r="K26" s="66"/>
      <c r="L26" s="66">
        <f t="shared" si="2"/>
        <v>8.7428537473447143E-2</v>
      </c>
      <c r="M26" s="66"/>
      <c r="N26" s="96"/>
      <c r="P26" s="96"/>
      <c r="R26" s="96"/>
      <c r="T26" s="96"/>
    </row>
    <row r="27" spans="2:20">
      <c r="B27" s="274">
        <v>2007</v>
      </c>
      <c r="D27" s="428">
        <v>35003.441910021633</v>
      </c>
      <c r="E27" s="96"/>
      <c r="F27" s="66">
        <f t="shared" si="1"/>
        <v>0.11646689156819878</v>
      </c>
      <c r="H27" s="485">
        <v>0.7796208298916234</v>
      </c>
      <c r="J27" s="96">
        <f t="shared" si="0"/>
        <v>27289.412430954297</v>
      </c>
      <c r="K27" s="66"/>
      <c r="L27" s="66">
        <f t="shared" si="2"/>
        <v>9.5630196491326647E-2</v>
      </c>
      <c r="M27" s="66"/>
      <c r="N27" s="96"/>
      <c r="P27" s="96"/>
      <c r="R27" s="96"/>
      <c r="T27" s="96"/>
    </row>
    <row r="28" spans="2:20">
      <c r="B28" s="274">
        <v>2008</v>
      </c>
      <c r="D28" s="428">
        <v>37848.349193419665</v>
      </c>
      <c r="E28" s="96"/>
      <c r="F28" s="66">
        <f t="shared" si="1"/>
        <v>8.1275072626030065E-2</v>
      </c>
      <c r="H28" s="485">
        <v>0.77651167713636948</v>
      </c>
      <c r="J28" s="96">
        <f t="shared" si="0"/>
        <v>29389.68510902526</v>
      </c>
      <c r="K28" s="66"/>
      <c r="L28" s="66">
        <f t="shared" si="2"/>
        <v>7.6962913121890075E-2</v>
      </c>
      <c r="M28" s="66"/>
      <c r="N28" s="96"/>
      <c r="P28" s="96"/>
      <c r="R28" s="96"/>
      <c r="T28" s="96"/>
    </row>
    <row r="29" spans="2:20">
      <c r="B29" s="274">
        <v>2009</v>
      </c>
      <c r="D29" s="428">
        <v>39900.89552746457</v>
      </c>
      <c r="E29" s="96"/>
      <c r="F29" s="66">
        <f t="shared" si="1"/>
        <v>5.4230802076878026E-2</v>
      </c>
      <c r="H29" s="485">
        <v>0.77341800511590586</v>
      </c>
      <c r="J29" s="96">
        <f t="shared" si="0"/>
        <v>30860.071021189819</v>
      </c>
      <c r="K29" s="66"/>
      <c r="L29" s="66">
        <f t="shared" si="2"/>
        <v>5.0030679359440278E-2</v>
      </c>
      <c r="M29" s="66"/>
      <c r="N29" s="96"/>
      <c r="P29" s="96"/>
      <c r="R29" s="96"/>
      <c r="T29" s="96"/>
    </row>
    <row r="30" spans="2:20">
      <c r="B30" s="273">
        <v>2010</v>
      </c>
      <c r="C30" s="101"/>
      <c r="D30" s="403">
        <v>40080.783073617029</v>
      </c>
      <c r="E30" s="102"/>
      <c r="F30" s="103">
        <f>+D30/D29-1</f>
        <v>4.5083586163783274E-3</v>
      </c>
      <c r="G30" s="101"/>
      <c r="H30" s="486">
        <v>0.77110469104277757</v>
      </c>
      <c r="I30" s="101"/>
      <c r="J30" s="102">
        <f t="shared" si="0"/>
        <v>30906.479848734049</v>
      </c>
      <c r="K30" s="103"/>
      <c r="L30" s="103">
        <f>+J30/J29-1</f>
        <v>1.503847075152942E-3</v>
      </c>
      <c r="M30" s="66"/>
      <c r="N30" s="96"/>
      <c r="P30" s="96"/>
      <c r="R30" s="96"/>
      <c r="T30" s="96"/>
    </row>
    <row r="31" spans="2:20">
      <c r="B31" s="274">
        <v>2011</v>
      </c>
      <c r="D31" s="428">
        <v>36406.827075963112</v>
      </c>
      <c r="E31" s="96" t="s">
        <v>40</v>
      </c>
      <c r="F31" s="98" t="s">
        <v>34</v>
      </c>
      <c r="H31" s="485">
        <v>0.79257556304568533</v>
      </c>
      <c r="J31" s="96">
        <f t="shared" si="0"/>
        <v>28855.161468438364</v>
      </c>
      <c r="K31" s="96" t="s">
        <v>40</v>
      </c>
      <c r="L31" s="98" t="s">
        <v>34</v>
      </c>
      <c r="M31" s="96"/>
      <c r="N31" s="96"/>
      <c r="P31" s="96"/>
      <c r="R31" s="96"/>
      <c r="T31" s="96"/>
    </row>
    <row r="32" spans="2:20">
      <c r="B32" s="274">
        <v>2012</v>
      </c>
      <c r="D32" s="428">
        <v>34211.212821881061</v>
      </c>
      <c r="E32" s="96"/>
      <c r="F32" s="66">
        <f t="shared" ref="F32:F37" si="3">+D32/D31-1</f>
        <v>-6.030776176954078E-2</v>
      </c>
      <c r="H32" s="485">
        <v>0.83698073918226112</v>
      </c>
      <c r="J32" s="96">
        <f t="shared" si="0"/>
        <v>28634.126195979661</v>
      </c>
      <c r="K32" s="96"/>
      <c r="L32" s="66">
        <f t="shared" ref="L32:L37" si="4">+J32/J31-1</f>
        <v>-7.6601641165816581E-3</v>
      </c>
      <c r="M32" s="96"/>
      <c r="N32" s="96"/>
      <c r="P32" s="96"/>
      <c r="R32" s="96"/>
      <c r="T32" s="96"/>
    </row>
    <row r="33" spans="2:20">
      <c r="B33" s="274">
        <v>2013</v>
      </c>
      <c r="D33" s="428">
        <v>31830.172976624566</v>
      </c>
      <c r="E33" s="96"/>
      <c r="F33" s="66">
        <f t="shared" si="3"/>
        <v>-6.9598229611246398E-2</v>
      </c>
      <c r="H33" s="485">
        <v>0.92086409095558752</v>
      </c>
      <c r="J33" s="96">
        <f t="shared" si="0"/>
        <v>29311.263303078489</v>
      </c>
      <c r="K33" s="96"/>
      <c r="L33" s="66">
        <f t="shared" si="4"/>
        <v>2.3647905386192658E-2</v>
      </c>
      <c r="M33" s="66"/>
      <c r="N33" s="96"/>
      <c r="P33" s="96"/>
      <c r="R33" s="96"/>
      <c r="T33" s="96"/>
    </row>
    <row r="34" spans="2:20">
      <c r="B34" s="274">
        <v>2014</v>
      </c>
      <c r="D34" s="428">
        <v>30598.331110244104</v>
      </c>
      <c r="E34" s="96"/>
      <c r="F34" s="66">
        <f t="shared" si="3"/>
        <v>-3.8700445243734727E-2</v>
      </c>
      <c r="H34" s="485">
        <v>0.97983966026742353</v>
      </c>
      <c r="J34" s="96">
        <f t="shared" si="0"/>
        <v>29981.458359811721</v>
      </c>
      <c r="K34" s="96"/>
      <c r="L34" s="66">
        <f t="shared" si="4"/>
        <v>2.2864761910921905E-2</v>
      </c>
      <c r="M34" s="66"/>
      <c r="N34" s="96"/>
      <c r="P34" s="96"/>
      <c r="R34" s="96"/>
      <c r="T34" s="96"/>
    </row>
    <row r="35" spans="2:20">
      <c r="B35" s="274">
        <v>2015</v>
      </c>
      <c r="D35" s="428">
        <v>29845.632334573373</v>
      </c>
      <c r="E35" s="96"/>
      <c r="F35" s="66">
        <f t="shared" si="3"/>
        <v>-2.4599340825445681E-2</v>
      </c>
      <c r="H35" s="485">
        <v>1.0029578384435474</v>
      </c>
      <c r="J35" s="96">
        <f t="shared" si="0"/>
        <v>29933.910893264554</v>
      </c>
      <c r="K35" s="96"/>
      <c r="L35" s="66">
        <f t="shared" si="4"/>
        <v>-1.5858957218338743E-3</v>
      </c>
      <c r="M35" s="66"/>
      <c r="N35" s="96"/>
      <c r="P35" s="96"/>
      <c r="R35" s="96"/>
      <c r="T35" s="96"/>
    </row>
    <row r="36" spans="2:20">
      <c r="B36" s="274">
        <v>2016</v>
      </c>
      <c r="D36" s="428">
        <v>28957.234405274899</v>
      </c>
      <c r="E36" s="96"/>
      <c r="F36" s="66">
        <f t="shared" si="3"/>
        <v>-2.9766430120810261E-2</v>
      </c>
      <c r="H36" s="485">
        <v>1.0039818999815286</v>
      </c>
      <c r="J36" s="96">
        <f>H36*D36</f>
        <v>29072.539216418383</v>
      </c>
      <c r="K36" s="96"/>
      <c r="L36" s="66">
        <f t="shared" si="4"/>
        <v>-2.8775781417856416E-2</v>
      </c>
      <c r="M36" s="66"/>
      <c r="N36" s="96"/>
      <c r="P36" s="96"/>
      <c r="R36" s="96"/>
      <c r="T36" s="96"/>
    </row>
    <row r="37" spans="2:20" s="317" customFormat="1">
      <c r="B37" s="319">
        <v>2017</v>
      </c>
      <c r="D37" s="428">
        <v>29319.101295160472</v>
      </c>
      <c r="E37" s="96"/>
      <c r="F37" s="66">
        <f t="shared" si="3"/>
        <v>1.2496597044490354E-2</v>
      </c>
      <c r="H37" s="485">
        <v>1.0060019519009458</v>
      </c>
      <c r="J37" s="96">
        <f>H37*D37</f>
        <v>29495.073130912981</v>
      </c>
      <c r="K37" s="96"/>
      <c r="L37" s="66">
        <f t="shared" si="4"/>
        <v>1.4533780876490265E-2</v>
      </c>
      <c r="M37" s="66"/>
      <c r="N37" s="96"/>
      <c r="P37" s="96"/>
      <c r="R37" s="96"/>
      <c r="T37" s="96"/>
    </row>
    <row r="38" spans="2:20">
      <c r="B38" s="377">
        <v>2018</v>
      </c>
      <c r="C38" s="375"/>
      <c r="D38" s="428">
        <v>30534.65448279367</v>
      </c>
      <c r="E38" s="96"/>
      <c r="F38" s="66">
        <f>+D38/D37-1</f>
        <v>4.1459428629684547E-2</v>
      </c>
      <c r="G38" s="375"/>
      <c r="H38" s="485">
        <v>1.0070150089999996</v>
      </c>
      <c r="I38" s="375"/>
      <c r="J38" s="96">
        <f>H38*D38</f>
        <v>30748.855358802346</v>
      </c>
      <c r="K38" s="96"/>
      <c r="L38" s="66">
        <f>+J38/J37-1</f>
        <v>4.2508191870706424E-2</v>
      </c>
      <c r="M38" s="66"/>
    </row>
    <row r="39" spans="2:20" s="375" customFormat="1">
      <c r="B39" s="377"/>
      <c r="D39" s="96"/>
      <c r="E39" s="96"/>
      <c r="F39" s="66"/>
      <c r="H39" s="74"/>
      <c r="J39" s="96"/>
      <c r="K39" s="96"/>
      <c r="L39" s="66"/>
      <c r="M39" s="66"/>
    </row>
    <row r="40" spans="2:20">
      <c r="B40" s="72"/>
    </row>
    <row r="41" spans="2:20">
      <c r="B41" s="72"/>
      <c r="I41" s="316" t="s">
        <v>237</v>
      </c>
      <c r="L41" s="484">
        <v>2.5000000000000001E-2</v>
      </c>
    </row>
    <row r="42" spans="2:20">
      <c r="B42" s="72"/>
    </row>
    <row r="43" spans="2:20">
      <c r="B43" s="72"/>
    </row>
    <row r="44" spans="2:20" ht="56.45" customHeight="1">
      <c r="B44" s="533" t="s">
        <v>412</v>
      </c>
      <c r="C44" s="533"/>
      <c r="D44" s="533"/>
      <c r="E44" s="533"/>
      <c r="F44" s="533"/>
      <c r="G44" s="533"/>
      <c r="H44" s="533"/>
      <c r="I44" s="533"/>
      <c r="J44" s="533"/>
      <c r="K44" s="533"/>
      <c r="L44" s="533"/>
      <c r="M44" s="533"/>
    </row>
    <row r="45" spans="2:20" ht="32.450000000000003" customHeight="1">
      <c r="B45" s="533" t="s">
        <v>395</v>
      </c>
      <c r="C45" s="533"/>
      <c r="D45" s="533"/>
      <c r="E45" s="533"/>
      <c r="F45" s="533"/>
      <c r="G45" s="533"/>
      <c r="H45" s="533"/>
      <c r="I45" s="533"/>
      <c r="J45" s="533"/>
      <c r="K45" s="533"/>
      <c r="L45" s="533"/>
      <c r="M45" s="533"/>
    </row>
    <row r="46" spans="2:20" ht="41.25" customHeight="1">
      <c r="B46" s="552" t="s">
        <v>225</v>
      </c>
      <c r="C46" s="552"/>
      <c r="D46" s="552"/>
      <c r="E46" s="552"/>
      <c r="F46" s="552"/>
      <c r="G46" s="552"/>
      <c r="H46" s="552"/>
      <c r="I46" s="552"/>
      <c r="J46" s="552"/>
      <c r="K46" s="552"/>
      <c r="L46" s="552"/>
      <c r="M46" s="552"/>
    </row>
    <row r="48" spans="2:20">
      <c r="B48" s="270" t="s">
        <v>222</v>
      </c>
    </row>
  </sheetData>
  <mergeCells count="5">
    <mergeCell ref="A1:M1"/>
    <mergeCell ref="A2:M2"/>
    <mergeCell ref="B44:M44"/>
    <mergeCell ref="B45:M45"/>
    <mergeCell ref="B46:M46"/>
  </mergeCells>
  <printOptions horizontalCentered="1"/>
  <pageMargins left="0.7" right="0.7" top="0.75" bottom="0.75" header="0.3" footer="0.3"/>
  <pageSetup scale="96" orientation="portrait" horizontalDpi="1200" verticalDpi="12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V39"/>
  <sheetViews>
    <sheetView workbookViewId="0">
      <selection sqref="A1:Q1"/>
    </sheetView>
  </sheetViews>
  <sheetFormatPr defaultColWidth="9.140625" defaultRowHeight="12.75"/>
  <cols>
    <col min="1" max="1" width="9.140625" style="136"/>
    <col min="2" max="2" width="11.28515625" style="136" customWidth="1"/>
    <col min="3" max="3" width="3.7109375" style="136" customWidth="1"/>
    <col min="4" max="4" width="11.28515625" style="136" customWidth="1"/>
    <col min="5" max="5" width="3.7109375" style="136" customWidth="1"/>
    <col min="6" max="6" width="11.28515625" style="136" customWidth="1"/>
    <col min="7" max="7" width="3.7109375" style="136" customWidth="1"/>
    <col min="8" max="8" width="11.28515625" style="136" customWidth="1"/>
    <col min="9" max="9" width="3.7109375" style="136" customWidth="1"/>
    <col min="10" max="10" width="11.28515625" style="136" customWidth="1"/>
    <col min="11" max="11" width="4" style="136" customWidth="1"/>
    <col min="12" max="12" width="11.28515625" style="136" customWidth="1"/>
    <col min="13" max="13" width="3.7109375" style="136" customWidth="1"/>
    <col min="14" max="14" width="11.28515625" style="136" customWidth="1"/>
    <col min="15" max="15" width="3.7109375" style="136" customWidth="1"/>
    <col min="16" max="16" width="11.28515625" style="136" customWidth="1"/>
    <col min="17" max="17" width="3.7109375" style="136" customWidth="1"/>
    <col min="18" max="22" width="11.7109375" style="140" bestFit="1" customWidth="1"/>
    <col min="23" max="16384" width="9.140625" style="136"/>
  </cols>
  <sheetData>
    <row r="1" spans="1:22">
      <c r="A1" s="585" t="s">
        <v>224</v>
      </c>
      <c r="B1" s="586"/>
      <c r="C1" s="586"/>
      <c r="D1" s="586"/>
      <c r="E1" s="586"/>
      <c r="F1" s="586"/>
      <c r="G1" s="586"/>
      <c r="H1" s="586"/>
      <c r="I1" s="586"/>
      <c r="J1" s="586"/>
      <c r="K1" s="586"/>
      <c r="L1" s="586"/>
      <c r="M1" s="586"/>
      <c r="N1" s="586"/>
      <c r="O1" s="586"/>
      <c r="P1" s="586"/>
      <c r="Q1" s="586"/>
    </row>
    <row r="2" spans="1:22">
      <c r="A2" s="585" t="s">
        <v>228</v>
      </c>
      <c r="B2" s="586"/>
      <c r="C2" s="586"/>
      <c r="D2" s="586"/>
      <c r="E2" s="586"/>
      <c r="F2" s="586"/>
      <c r="G2" s="586"/>
      <c r="H2" s="586"/>
      <c r="I2" s="586"/>
      <c r="J2" s="586"/>
      <c r="K2" s="586"/>
      <c r="L2" s="586"/>
      <c r="M2" s="586"/>
      <c r="N2" s="586"/>
      <c r="O2" s="586"/>
      <c r="P2" s="586"/>
      <c r="Q2" s="586"/>
    </row>
    <row r="3" spans="1:22">
      <c r="A3" s="585" t="s">
        <v>489</v>
      </c>
      <c r="B3" s="586"/>
      <c r="C3" s="586"/>
      <c r="D3" s="586"/>
      <c r="E3" s="586"/>
      <c r="F3" s="586"/>
      <c r="G3" s="586"/>
      <c r="H3" s="586"/>
      <c r="I3" s="586"/>
      <c r="J3" s="586"/>
      <c r="K3" s="586"/>
      <c r="L3" s="586"/>
      <c r="M3" s="586"/>
      <c r="N3" s="586"/>
      <c r="O3" s="586"/>
      <c r="P3" s="586"/>
      <c r="Q3" s="586"/>
    </row>
    <row r="4" spans="1:22">
      <c r="A4" s="104"/>
      <c r="B4" s="104"/>
      <c r="C4" s="104"/>
      <c r="D4" s="104"/>
      <c r="E4" s="104"/>
      <c r="F4" s="104"/>
      <c r="G4" s="104"/>
      <c r="H4" s="104"/>
      <c r="I4" s="104"/>
      <c r="J4" s="104"/>
      <c r="K4" s="104"/>
      <c r="L4" s="104"/>
      <c r="M4" s="104"/>
      <c r="N4" s="104"/>
      <c r="O4" s="104"/>
      <c r="P4" s="104"/>
      <c r="Q4" s="104"/>
    </row>
    <row r="5" spans="1:22">
      <c r="A5" s="104"/>
      <c r="B5" s="104"/>
      <c r="C5" s="104"/>
      <c r="D5" s="104"/>
      <c r="E5" s="104"/>
      <c r="F5" s="104"/>
      <c r="G5" s="104"/>
      <c r="H5" s="104"/>
      <c r="I5" s="104"/>
      <c r="J5" s="586" t="s">
        <v>229</v>
      </c>
      <c r="K5" s="586"/>
      <c r="L5" s="586"/>
      <c r="M5" s="586"/>
      <c r="N5" s="586"/>
      <c r="O5" s="586"/>
      <c r="P5" s="586"/>
      <c r="Q5" s="104"/>
    </row>
    <row r="6" spans="1:22">
      <c r="A6" s="104"/>
      <c r="B6" s="104"/>
      <c r="C6" s="104"/>
      <c r="D6" s="104"/>
      <c r="E6" s="104"/>
      <c r="F6" s="104"/>
      <c r="G6" s="104"/>
      <c r="H6" s="104"/>
      <c r="I6" s="104"/>
      <c r="J6" s="586" t="s">
        <v>230</v>
      </c>
      <c r="K6" s="586"/>
      <c r="L6" s="586"/>
      <c r="M6" s="586"/>
      <c r="N6" s="586"/>
      <c r="O6" s="586"/>
      <c r="P6" s="586"/>
      <c r="Q6" s="104"/>
    </row>
    <row r="7" spans="1:22">
      <c r="A7" s="104"/>
      <c r="B7" s="579" t="s">
        <v>231</v>
      </c>
      <c r="C7" s="579"/>
      <c r="D7" s="579"/>
      <c r="E7" s="579"/>
      <c r="F7" s="579"/>
      <c r="G7" s="579"/>
      <c r="H7" s="579"/>
      <c r="I7" s="104"/>
      <c r="J7" s="579" t="s">
        <v>232</v>
      </c>
      <c r="K7" s="579"/>
      <c r="L7" s="579"/>
      <c r="M7" s="579"/>
      <c r="N7" s="579"/>
      <c r="O7" s="579"/>
      <c r="P7" s="579"/>
      <c r="Q7" s="104"/>
      <c r="R7" s="580" t="s">
        <v>538</v>
      </c>
      <c r="S7" s="581"/>
      <c r="T7" s="581"/>
      <c r="U7" s="581"/>
      <c r="V7" s="582"/>
    </row>
    <row r="8" spans="1:22">
      <c r="A8" s="105" t="s">
        <v>47</v>
      </c>
      <c r="B8" s="106" t="s">
        <v>48</v>
      </c>
      <c r="C8" s="106"/>
      <c r="D8" s="106" t="s">
        <v>49</v>
      </c>
      <c r="E8" s="106"/>
      <c r="F8" s="106" t="s">
        <v>50</v>
      </c>
      <c r="G8" s="106"/>
      <c r="H8" s="106" t="s">
        <v>56</v>
      </c>
      <c r="I8" s="159"/>
      <c r="J8" s="106" t="s">
        <v>57</v>
      </c>
      <c r="K8" s="106"/>
      <c r="L8" s="106" t="s">
        <v>146</v>
      </c>
      <c r="M8" s="106"/>
      <c r="N8" s="106" t="s">
        <v>233</v>
      </c>
      <c r="O8" s="106"/>
      <c r="P8" s="106" t="s">
        <v>234</v>
      </c>
      <c r="Q8" s="107"/>
      <c r="R8" s="419"/>
      <c r="S8" s="488" t="s">
        <v>217</v>
      </c>
      <c r="T8" s="488"/>
      <c r="U8" s="488" t="s">
        <v>217</v>
      </c>
      <c r="V8" s="420" t="s">
        <v>217</v>
      </c>
    </row>
    <row r="9" spans="1:22">
      <c r="A9" s="159"/>
      <c r="B9" s="159" t="s">
        <v>217</v>
      </c>
      <c r="C9" s="159"/>
      <c r="D9" s="159"/>
      <c r="E9" s="159"/>
      <c r="F9" s="159" t="s">
        <v>62</v>
      </c>
      <c r="G9" s="159"/>
      <c r="H9" s="159"/>
      <c r="I9" s="159"/>
      <c r="J9" s="159" t="s">
        <v>217</v>
      </c>
      <c r="K9" s="159"/>
      <c r="L9" s="159"/>
      <c r="M9" s="159"/>
      <c r="N9" s="159" t="s">
        <v>62</v>
      </c>
      <c r="O9" s="159"/>
      <c r="P9" s="159"/>
      <c r="Q9" s="107"/>
      <c r="R9" s="489"/>
      <c r="S9" s="386" t="s">
        <v>62</v>
      </c>
      <c r="T9" s="386"/>
      <c r="U9" s="386" t="s">
        <v>62</v>
      </c>
      <c r="V9" s="399" t="s">
        <v>62</v>
      </c>
    </row>
    <row r="10" spans="1:22">
      <c r="A10" s="159" t="s">
        <v>60</v>
      </c>
      <c r="B10" s="159" t="s">
        <v>62</v>
      </c>
      <c r="C10" s="159"/>
      <c r="D10" s="159" t="s">
        <v>72</v>
      </c>
      <c r="E10" s="159"/>
      <c r="F10" s="159" t="s">
        <v>235</v>
      </c>
      <c r="G10" s="159"/>
      <c r="H10" s="159" t="s">
        <v>72</v>
      </c>
      <c r="I10" s="159"/>
      <c r="J10" s="159" t="s">
        <v>62</v>
      </c>
      <c r="K10" s="159"/>
      <c r="L10" s="159" t="s">
        <v>72</v>
      </c>
      <c r="M10" s="159"/>
      <c r="N10" s="159" t="s">
        <v>235</v>
      </c>
      <c r="O10" s="159"/>
      <c r="P10" s="159" t="s">
        <v>72</v>
      </c>
      <c r="Q10" s="107"/>
      <c r="R10" s="490" t="s">
        <v>539</v>
      </c>
      <c r="S10" s="386" t="s">
        <v>219</v>
      </c>
      <c r="T10" s="386"/>
      <c r="U10" s="386" t="s">
        <v>219</v>
      </c>
      <c r="V10" s="399" t="s">
        <v>219</v>
      </c>
    </row>
    <row r="11" spans="1:22">
      <c r="A11" s="108" t="s">
        <v>8</v>
      </c>
      <c r="B11" s="108" t="s">
        <v>226</v>
      </c>
      <c r="C11" s="108"/>
      <c r="D11" s="108" t="s">
        <v>220</v>
      </c>
      <c r="E11" s="108"/>
      <c r="F11" s="108" t="s">
        <v>236</v>
      </c>
      <c r="G11" s="108"/>
      <c r="H11" s="108" t="s">
        <v>220</v>
      </c>
      <c r="I11" s="159"/>
      <c r="J11" s="108" t="s">
        <v>226</v>
      </c>
      <c r="K11" s="108"/>
      <c r="L11" s="108" t="s">
        <v>220</v>
      </c>
      <c r="M11" s="108"/>
      <c r="N11" s="108" t="s">
        <v>236</v>
      </c>
      <c r="O11" s="108"/>
      <c r="P11" s="108" t="s">
        <v>220</v>
      </c>
      <c r="Q11" s="107"/>
      <c r="R11" s="491" t="s">
        <v>8</v>
      </c>
      <c r="S11" s="137" t="s">
        <v>392</v>
      </c>
      <c r="T11" s="137" t="s">
        <v>540</v>
      </c>
      <c r="U11" s="137" t="s">
        <v>541</v>
      </c>
      <c r="V11" s="492" t="s">
        <v>542</v>
      </c>
    </row>
    <row r="12" spans="1:22">
      <c r="A12" s="104"/>
      <c r="B12" s="104"/>
      <c r="C12" s="104"/>
      <c r="D12" s="104"/>
      <c r="E12" s="104"/>
      <c r="F12" s="104"/>
      <c r="G12" s="104"/>
      <c r="H12" s="104"/>
      <c r="I12" s="104"/>
      <c r="J12" s="104"/>
      <c r="K12" s="104"/>
      <c r="L12" s="104"/>
      <c r="M12" s="104"/>
      <c r="N12" s="104"/>
      <c r="O12" s="104"/>
      <c r="P12" s="104"/>
      <c r="Q12" s="104"/>
      <c r="R12" s="490"/>
      <c r="S12" s="138"/>
      <c r="T12" s="225"/>
      <c r="V12" s="399"/>
    </row>
    <row r="13" spans="1:22">
      <c r="A13" s="107">
        <v>2005</v>
      </c>
      <c r="B13" s="109">
        <f>'Exhibit 6.3'!D25</f>
        <v>28716.345216338021</v>
      </c>
      <c r="C13" s="109"/>
      <c r="D13" s="110" t="s">
        <v>34</v>
      </c>
      <c r="E13" s="111"/>
      <c r="F13" s="109">
        <f>B13*'Exhibit 6.3'!H25</f>
        <v>22904.956201212386</v>
      </c>
      <c r="G13" s="111"/>
      <c r="H13" s="110" t="s">
        <v>34</v>
      </c>
      <c r="I13" s="104"/>
      <c r="J13" s="498">
        <f t="shared" ref="J13:J17" si="0">+J14/(1+V14)</f>
        <v>27211.500861539476</v>
      </c>
      <c r="K13" s="109"/>
      <c r="L13" s="110" t="s">
        <v>34</v>
      </c>
      <c r="M13" s="111"/>
      <c r="N13" s="109">
        <v>21704.650459773824</v>
      </c>
      <c r="O13" s="111"/>
      <c r="P13" s="110" t="s">
        <v>34</v>
      </c>
      <c r="Q13" s="104"/>
      <c r="R13" s="490">
        <v>2005</v>
      </c>
      <c r="S13" s="226">
        <f>B13</f>
        <v>28716.345216338021</v>
      </c>
      <c r="T13" s="225">
        <v>0.05</v>
      </c>
      <c r="U13" s="141">
        <f t="shared" ref="U13:U19" si="1">+S13*(1-T13)</f>
        <v>27280.52795552112</v>
      </c>
      <c r="V13" s="399"/>
    </row>
    <row r="14" spans="1:22">
      <c r="A14" s="107">
        <v>2006</v>
      </c>
      <c r="B14" s="109">
        <f>'Exhibit 6.3'!D26</f>
        <v>31351.974854225642</v>
      </c>
      <c r="C14" s="109"/>
      <c r="D14" s="66">
        <f t="shared" ref="D14:D26" si="2">+B14/B13-1</f>
        <v>9.1781513908952839E-2</v>
      </c>
      <c r="E14" s="111"/>
      <c r="F14" s="109">
        <f>B14*'Exhibit 6.3'!H26</f>
        <v>24907.50302277775</v>
      </c>
      <c r="G14" s="111"/>
      <c r="H14" s="66">
        <f t="shared" ref="H14:H26" si="3">+F14/F13-1</f>
        <v>8.7428537473447143E-2</v>
      </c>
      <c r="I14" s="104"/>
      <c r="J14" s="498">
        <f t="shared" si="0"/>
        <v>29396.287147332176</v>
      </c>
      <c r="K14" s="109"/>
      <c r="L14" s="111">
        <v>8.028907692043763E-2</v>
      </c>
      <c r="M14" s="111"/>
      <c r="N14" s="109">
        <v>23353.811502624816</v>
      </c>
      <c r="O14" s="111"/>
      <c r="P14" s="111">
        <v>7.5981921289516086E-2</v>
      </c>
      <c r="Q14" s="104"/>
      <c r="R14" s="490">
        <f t="shared" ref="R14:R19" si="4">+R13+1</f>
        <v>2006</v>
      </c>
      <c r="S14" s="226">
        <f t="shared" ref="S14:S19" si="5">B14</f>
        <v>31351.974854225642</v>
      </c>
      <c r="T14" s="225">
        <v>0.06</v>
      </c>
      <c r="U14" s="141">
        <f t="shared" si="1"/>
        <v>29470.856362972103</v>
      </c>
      <c r="V14" s="493">
        <f t="shared" ref="V14:V19" si="6">+U14/U13-1</f>
        <v>8.028907692043763E-2</v>
      </c>
    </row>
    <row r="15" spans="1:22">
      <c r="A15" s="107">
        <v>2007</v>
      </c>
      <c r="B15" s="109">
        <f>'Exhibit 6.3'!D27</f>
        <v>35003.441910021633</v>
      </c>
      <c r="C15" s="109"/>
      <c r="D15" s="66">
        <f t="shared" si="2"/>
        <v>0.11646689156819878</v>
      </c>
      <c r="E15" s="111"/>
      <c r="F15" s="109">
        <f>B15*'Exhibit 6.3'!H27</f>
        <v>27289.412430954297</v>
      </c>
      <c r="G15" s="111"/>
      <c r="H15" s="66">
        <f t="shared" si="3"/>
        <v>9.5630196491326647E-2</v>
      </c>
      <c r="I15" s="104"/>
      <c r="J15" s="498">
        <f t="shared" si="0"/>
        <v>32680.32183998547</v>
      </c>
      <c r="K15" s="109"/>
      <c r="L15" s="111">
        <v>0.11171596862535527</v>
      </c>
      <c r="M15" s="111"/>
      <c r="N15" s="109">
        <v>25478.259634014819</v>
      </c>
      <c r="O15" s="111"/>
      <c r="P15" s="111">
        <v>9.0967940336044384E-2</v>
      </c>
      <c r="Q15" s="104"/>
      <c r="R15" s="490">
        <f t="shared" si="4"/>
        <v>2007</v>
      </c>
      <c r="S15" s="226">
        <f t="shared" si="5"/>
        <v>35003.441910021633</v>
      </c>
      <c r="T15" s="225">
        <v>6.4000000000000001E-2</v>
      </c>
      <c r="U15" s="141">
        <f t="shared" si="1"/>
        <v>32763.221627780247</v>
      </c>
      <c r="V15" s="493">
        <f t="shared" si="6"/>
        <v>0.11171596862535527</v>
      </c>
    </row>
    <row r="16" spans="1:22">
      <c r="A16" s="107">
        <v>2008</v>
      </c>
      <c r="B16" s="109">
        <f>'Exhibit 6.3'!D28</f>
        <v>37848.349193419665</v>
      </c>
      <c r="C16" s="109"/>
      <c r="D16" s="66">
        <f t="shared" si="2"/>
        <v>8.1275072626030065E-2</v>
      </c>
      <c r="E16" s="111"/>
      <c r="F16" s="109">
        <f>B16*'Exhibit 6.3'!H28</f>
        <v>29389.68510902526</v>
      </c>
      <c r="G16" s="111"/>
      <c r="H16" s="66">
        <f t="shared" si="3"/>
        <v>7.6962913121890075E-2</v>
      </c>
      <c r="I16" s="104"/>
      <c r="J16" s="498">
        <f t="shared" si="0"/>
        <v>34543.613135085128</v>
      </c>
      <c r="K16" s="109"/>
      <c r="L16" s="111">
        <v>5.7015695996599947E-2</v>
      </c>
      <c r="M16" s="111"/>
      <c r="N16" s="109">
        <v>26823.518969874876</v>
      </c>
      <c r="O16" s="111"/>
      <c r="P16" s="111">
        <v>5.2800283660822123E-2</v>
      </c>
      <c r="Q16" s="104"/>
      <c r="R16" s="490">
        <f t="shared" si="4"/>
        <v>2008</v>
      </c>
      <c r="S16" s="226">
        <f t="shared" si="5"/>
        <v>37848.349193419665</v>
      </c>
      <c r="T16" s="225">
        <v>8.5000000000000006E-2</v>
      </c>
      <c r="U16" s="141">
        <f t="shared" si="1"/>
        <v>34631.239511978994</v>
      </c>
      <c r="V16" s="493">
        <f t="shared" si="6"/>
        <v>5.7015695996599947E-2</v>
      </c>
    </row>
    <row r="17" spans="1:22">
      <c r="A17" s="107">
        <v>2009</v>
      </c>
      <c r="B17" s="109">
        <f>'Exhibit 6.3'!D29</f>
        <v>39900.89552746457</v>
      </c>
      <c r="C17" s="109"/>
      <c r="D17" s="66">
        <f t="shared" si="2"/>
        <v>5.4230802076878026E-2</v>
      </c>
      <c r="E17" s="111"/>
      <c r="F17" s="109">
        <f>B17*'Exhibit 6.3'!H29</f>
        <v>30860.071021189819</v>
      </c>
      <c r="G17" s="111"/>
      <c r="H17" s="66">
        <f t="shared" si="3"/>
        <v>5.0030679359440278E-2</v>
      </c>
      <c r="I17" s="104"/>
      <c r="J17" s="498">
        <f t="shared" si="0"/>
        <v>36576.140724032135</v>
      </c>
      <c r="K17" s="109"/>
      <c r="L17" s="111">
        <v>5.8839461320929987E-2</v>
      </c>
      <c r="M17" s="111"/>
      <c r="N17" s="109">
        <v>28288.64579361958</v>
      </c>
      <c r="O17" s="111"/>
      <c r="P17" s="111">
        <v>5.4620977411284688E-2</v>
      </c>
      <c r="Q17" s="104"/>
      <c r="R17" s="490">
        <f t="shared" si="4"/>
        <v>2009</v>
      </c>
      <c r="S17" s="226">
        <f t="shared" si="5"/>
        <v>39900.89552746457</v>
      </c>
      <c r="T17" s="225">
        <v>8.1000000000000003E-2</v>
      </c>
      <c r="U17" s="141">
        <f t="shared" si="1"/>
        <v>36668.922989739942</v>
      </c>
      <c r="V17" s="493">
        <f t="shared" si="6"/>
        <v>5.8839461320929987E-2</v>
      </c>
    </row>
    <row r="18" spans="1:22">
      <c r="A18" s="107">
        <v>2010</v>
      </c>
      <c r="B18" s="109">
        <f>'Exhibit 6.3'!D30</f>
        <v>40080.783073617029</v>
      </c>
      <c r="C18" s="109"/>
      <c r="D18" s="66">
        <f t="shared" si="2"/>
        <v>4.5083586163783274E-3</v>
      </c>
      <c r="E18" s="111"/>
      <c r="F18" s="109">
        <f>B18*'Exhibit 6.3'!H30</f>
        <v>30906.479848734049</v>
      </c>
      <c r="G18" s="111"/>
      <c r="H18" s="66">
        <f t="shared" si="3"/>
        <v>1.503847075152942E-3</v>
      </c>
      <c r="I18" s="104"/>
      <c r="J18" s="498">
        <f>+J19/(1+V19)</f>
        <v>36704.334748470719</v>
      </c>
      <c r="K18" s="112"/>
      <c r="L18" s="113">
        <v>3.5048537626156673E-3</v>
      </c>
      <c r="M18" s="113"/>
      <c r="N18" s="109">
        <v>28302.884706150198</v>
      </c>
      <c r="O18" s="113"/>
      <c r="P18" s="111">
        <v>5.0334373142146838E-4</v>
      </c>
      <c r="Q18" s="104"/>
      <c r="R18" s="490">
        <f t="shared" si="4"/>
        <v>2010</v>
      </c>
      <c r="S18" s="226">
        <f t="shared" si="5"/>
        <v>40080.783073617029</v>
      </c>
      <c r="T18" s="225">
        <v>8.191808191808192E-2</v>
      </c>
      <c r="U18" s="141">
        <f t="shared" si="1"/>
        <v>36797.442202451595</v>
      </c>
      <c r="V18" s="493">
        <f t="shared" si="6"/>
        <v>3.5048537626156673E-3</v>
      </c>
    </row>
    <row r="19" spans="1:22">
      <c r="A19" s="107">
        <v>2011</v>
      </c>
      <c r="B19" s="487">
        <v>39889.637865256496</v>
      </c>
      <c r="C19" s="109"/>
      <c r="D19" s="66">
        <f t="shared" si="2"/>
        <v>-4.7689988493850866E-3</v>
      </c>
      <c r="E19" s="111"/>
      <c r="F19" s="109">
        <f>B19*'Exhibit 6.3'!H31</f>
        <v>31615.552190744158</v>
      </c>
      <c r="G19" s="111"/>
      <c r="H19" s="66">
        <f t="shared" si="3"/>
        <v>2.2942513850834123E-2</v>
      </c>
      <c r="I19" s="104"/>
      <c r="J19" s="109">
        <f>'Exhibit 6.3'!D31</f>
        <v>36406.827075963112</v>
      </c>
      <c r="K19" s="109"/>
      <c r="L19" s="111">
        <v>-8.1055187226899417E-3</v>
      </c>
      <c r="M19" s="111"/>
      <c r="N19" s="109">
        <v>28855.161468438364</v>
      </c>
      <c r="O19" s="111"/>
      <c r="P19" s="111">
        <v>1.9513090910063813E-2</v>
      </c>
      <c r="Q19" s="104"/>
      <c r="R19" s="494">
        <f t="shared" si="4"/>
        <v>2011</v>
      </c>
      <c r="S19" s="495">
        <f t="shared" si="5"/>
        <v>39889.637865256496</v>
      </c>
      <c r="T19" s="496">
        <v>8.4995958874749006E-2</v>
      </c>
      <c r="U19" s="400">
        <f t="shared" si="1"/>
        <v>36499.179845732528</v>
      </c>
      <c r="V19" s="497">
        <f t="shared" si="6"/>
        <v>-8.1055187226898306E-3</v>
      </c>
    </row>
    <row r="20" spans="1:22">
      <c r="A20" s="107">
        <v>2012</v>
      </c>
      <c r="B20" s="487">
        <v>37441.689293997879</v>
      </c>
      <c r="C20" s="109"/>
      <c r="D20" s="66">
        <f t="shared" si="2"/>
        <v>-6.1368031956759328E-2</v>
      </c>
      <c r="E20" s="111"/>
      <c r="F20" s="109">
        <f>B20*'Exhibit 6.3'!H32</f>
        <v>31337.972781522898</v>
      </c>
      <c r="G20" s="111"/>
      <c r="H20" s="66">
        <f t="shared" si="3"/>
        <v>-8.7798374529901579E-3</v>
      </c>
      <c r="I20" s="104"/>
      <c r="J20" s="109">
        <f>'Exhibit 6.3'!D32</f>
        <v>34211.212821881061</v>
      </c>
      <c r="K20" s="109"/>
      <c r="L20" s="111">
        <v>-6.030776176954078E-2</v>
      </c>
      <c r="M20" s="111"/>
      <c r="N20" s="109">
        <v>28634.126195979661</v>
      </c>
      <c r="O20" s="111"/>
      <c r="P20" s="111">
        <v>-7.6601641165816581E-3</v>
      </c>
      <c r="Q20" s="104"/>
      <c r="R20" s="136" t="s">
        <v>543</v>
      </c>
      <c r="S20" s="136"/>
      <c r="T20" s="136"/>
      <c r="U20" s="136"/>
      <c r="V20" s="136"/>
    </row>
    <row r="21" spans="1:22">
      <c r="A21" s="107">
        <v>2013</v>
      </c>
      <c r="B21" s="487">
        <v>34925.602848741386</v>
      </c>
      <c r="C21" s="109"/>
      <c r="D21" s="66">
        <f t="shared" si="2"/>
        <v>-6.7200131529851603E-2</v>
      </c>
      <c r="E21" s="111"/>
      <c r="F21" s="109">
        <f>B21*'Exhibit 6.3'!H33</f>
        <v>32161.733518382116</v>
      </c>
      <c r="G21" s="111"/>
      <c r="H21" s="66">
        <f t="shared" si="3"/>
        <v>2.6286344129602179E-2</v>
      </c>
      <c r="I21" s="104"/>
      <c r="J21" s="109">
        <f>'Exhibit 6.3'!D33</f>
        <v>31830.172976624566</v>
      </c>
      <c r="K21" s="109"/>
      <c r="L21" s="111">
        <v>-6.9598229611246398E-2</v>
      </c>
      <c r="M21" s="111"/>
      <c r="N21" s="109">
        <v>29311.263303078489</v>
      </c>
      <c r="O21" s="111"/>
      <c r="P21" s="111">
        <v>2.3647905386192658E-2</v>
      </c>
      <c r="Q21" s="104"/>
    </row>
    <row r="22" spans="1:22">
      <c r="A22" s="107">
        <v>2014</v>
      </c>
      <c r="B22" s="487">
        <v>33571.769618077327</v>
      </c>
      <c r="C22" s="109"/>
      <c r="D22" s="66">
        <f t="shared" si="2"/>
        <v>-3.8763346091042372E-2</v>
      </c>
      <c r="E22" s="111"/>
      <c r="F22" s="109">
        <f>B22*'Exhibit 6.3'!H34</f>
        <v>32894.951337153099</v>
      </c>
      <c r="G22" s="111"/>
      <c r="H22" s="66">
        <f t="shared" si="3"/>
        <v>2.2797832658861816E-2</v>
      </c>
      <c r="I22" s="104"/>
      <c r="J22" s="109">
        <f>'Exhibit 6.3'!D34</f>
        <v>30598.331110244104</v>
      </c>
      <c r="K22" s="109"/>
      <c r="L22" s="111">
        <v>-3.8700445243734727E-2</v>
      </c>
      <c r="M22" s="111"/>
      <c r="N22" s="109">
        <v>29981.458359811721</v>
      </c>
      <c r="O22" s="111"/>
      <c r="P22" s="111">
        <v>2.2864761910921905E-2</v>
      </c>
      <c r="Q22" s="104"/>
    </row>
    <row r="23" spans="1:22">
      <c r="A23" s="107">
        <v>2015</v>
      </c>
      <c r="B23" s="487">
        <v>32683.341937692476</v>
      </c>
      <c r="C23" s="109"/>
      <c r="D23" s="66">
        <f t="shared" si="2"/>
        <v>-2.6463534406791056E-2</v>
      </c>
      <c r="E23" s="111"/>
      <c r="F23" s="109">
        <f>B23*'Exhibit 6.3'!H35</f>
        <v>32780.013982939388</v>
      </c>
      <c r="G23" s="111"/>
      <c r="H23" s="66">
        <f t="shared" si="3"/>
        <v>-3.4940727844730013E-3</v>
      </c>
      <c r="I23" s="104"/>
      <c r="J23" s="109">
        <f>'Exhibit 6.3'!D35</f>
        <v>29845.632334573373</v>
      </c>
      <c r="K23" s="109"/>
      <c r="L23" s="111">
        <v>-2.4599340825445681E-2</v>
      </c>
      <c r="M23" s="111"/>
      <c r="N23" s="109">
        <v>29933.910893264554</v>
      </c>
      <c r="O23" s="111"/>
      <c r="P23" s="111">
        <v>-1.5858957218338743E-3</v>
      </c>
      <c r="Q23" s="104"/>
    </row>
    <row r="24" spans="1:22">
      <c r="A24" s="107">
        <v>2016</v>
      </c>
      <c r="B24" s="487">
        <v>31689.402476289135</v>
      </c>
      <c r="C24" s="109"/>
      <c r="D24" s="66">
        <f t="shared" si="2"/>
        <v>-3.0411194280504983E-2</v>
      </c>
      <c r="E24" s="111"/>
      <c r="F24" s="109">
        <f>B24*'Exhibit 6.3'!H36</f>
        <v>31815.586507424123</v>
      </c>
      <c r="G24" s="111"/>
      <c r="H24" s="66">
        <f t="shared" si="3"/>
        <v>-2.9421203908491567E-2</v>
      </c>
      <c r="I24" s="104"/>
      <c r="J24" s="109">
        <f>'Exhibit 6.3'!D36</f>
        <v>28957.234405274899</v>
      </c>
      <c r="K24" s="109"/>
      <c r="L24" s="111">
        <v>-2.9766430120810261E-2</v>
      </c>
      <c r="M24" s="111"/>
      <c r="N24" s="109">
        <v>29072.539216418383</v>
      </c>
      <c r="O24" s="111"/>
      <c r="P24" s="111">
        <v>-2.8775781417856416E-2</v>
      </c>
      <c r="Q24" s="104"/>
    </row>
    <row r="25" spans="1:22">
      <c r="A25" s="107">
        <v>2017</v>
      </c>
      <c r="B25" s="487">
        <v>32189.318649997131</v>
      </c>
      <c r="C25" s="109"/>
      <c r="D25" s="66">
        <f t="shared" si="2"/>
        <v>1.577550015599205E-2</v>
      </c>
      <c r="E25" s="111"/>
      <c r="F25" s="109">
        <f>B25*'Exhibit 6.3'!H37</f>
        <v>32382.517392258629</v>
      </c>
      <c r="G25" s="111"/>
      <c r="H25" s="66">
        <f t="shared" si="3"/>
        <v>1.7819281272787979E-2</v>
      </c>
      <c r="I25" s="104"/>
      <c r="J25" s="109">
        <f>'Exhibit 6.3'!D37</f>
        <v>29319.101295160472</v>
      </c>
      <c r="K25" s="109"/>
      <c r="L25" s="111">
        <v>1.2496597044490354E-2</v>
      </c>
      <c r="M25" s="111"/>
      <c r="N25" s="109">
        <v>29495.073130912981</v>
      </c>
      <c r="O25" s="111"/>
      <c r="P25" s="111">
        <v>1.4533780876490265E-2</v>
      </c>
      <c r="Q25" s="104"/>
    </row>
    <row r="26" spans="1:22">
      <c r="A26" s="107">
        <v>2018</v>
      </c>
      <c r="B26" s="487">
        <v>33742.565635010928</v>
      </c>
      <c r="C26" s="109"/>
      <c r="D26" s="66">
        <f t="shared" si="2"/>
        <v>4.8253490603596072E-2</v>
      </c>
      <c r="E26" s="111"/>
      <c r="F26" s="109">
        <f>B26*'Exhibit 6.3'!H38</f>
        <v>33979.270036623609</v>
      </c>
      <c r="G26" s="111"/>
      <c r="H26" s="66">
        <f t="shared" si="3"/>
        <v>4.9309095553722981E-2</v>
      </c>
      <c r="I26" s="104"/>
      <c r="J26" s="109">
        <f>'Exhibit 6.3'!D38</f>
        <v>30534.65448279367</v>
      </c>
      <c r="K26" s="109"/>
      <c r="L26" s="111">
        <v>4.1459428629684547E-2</v>
      </c>
      <c r="M26" s="111"/>
      <c r="N26" s="109">
        <v>30748.855358802346</v>
      </c>
      <c r="O26" s="111"/>
      <c r="P26" s="111">
        <v>4.2508191870706424E-2</v>
      </c>
      <c r="Q26" s="104"/>
    </row>
    <row r="27" spans="1:22">
      <c r="A27" s="159"/>
      <c r="B27" s="104"/>
      <c r="C27" s="104"/>
      <c r="D27" s="104"/>
      <c r="E27" s="104"/>
      <c r="F27" s="109"/>
      <c r="G27" s="104"/>
      <c r="H27" s="104"/>
      <c r="I27" s="104"/>
      <c r="J27" s="104"/>
      <c r="K27" s="104"/>
      <c r="L27" s="104"/>
      <c r="M27" s="104"/>
      <c r="N27" s="104"/>
      <c r="O27" s="104"/>
      <c r="P27" s="104"/>
      <c r="Q27" s="104"/>
    </row>
    <row r="28" spans="1:22">
      <c r="A28" s="104" t="s">
        <v>285</v>
      </c>
      <c r="B28" s="104"/>
      <c r="C28" s="104"/>
      <c r="D28" s="104"/>
      <c r="E28" s="104"/>
      <c r="F28" s="104"/>
      <c r="G28" s="104"/>
      <c r="H28" s="104"/>
      <c r="I28" s="104"/>
      <c r="J28" s="104"/>
      <c r="K28" s="104"/>
      <c r="L28" s="104"/>
      <c r="M28" s="104"/>
      <c r="N28" s="104"/>
      <c r="O28" s="104"/>
      <c r="P28" s="104"/>
      <c r="Q28" s="104"/>
    </row>
    <row r="29" spans="1:22">
      <c r="A29" s="114" t="s">
        <v>507</v>
      </c>
      <c r="B29" s="104"/>
      <c r="C29" s="104"/>
      <c r="D29" s="104"/>
      <c r="E29" s="104"/>
      <c r="F29" s="104"/>
      <c r="G29" s="104"/>
      <c r="H29" s="499">
        <v>5.7687027136618552E-2</v>
      </c>
      <c r="I29" s="104"/>
      <c r="J29" s="104"/>
      <c r="K29" s="104"/>
      <c r="L29" s="104"/>
      <c r="M29" s="104"/>
      <c r="N29" s="104"/>
      <c r="O29" s="104"/>
      <c r="P29" s="369" t="s">
        <v>508</v>
      </c>
      <c r="Q29" s="104"/>
    </row>
    <row r="30" spans="1:22">
      <c r="A30" s="114" t="s">
        <v>509</v>
      </c>
      <c r="B30" s="114"/>
      <c r="C30" s="114"/>
      <c r="D30" s="115"/>
      <c r="E30" s="115"/>
      <c r="G30" s="115"/>
      <c r="H30" s="115">
        <f>LOGEST(F13:F26,A13:A26)-1</f>
        <v>2.354623552752777E-2</v>
      </c>
      <c r="I30" s="114"/>
      <c r="J30" s="114"/>
      <c r="K30" s="114"/>
      <c r="L30" s="115"/>
      <c r="M30" s="115"/>
      <c r="O30" s="111"/>
      <c r="P30" s="115">
        <f>LOGEST(N13:N26,A13:A26)-1</f>
        <v>2.0963904166069636E-2</v>
      </c>
      <c r="Q30" s="104"/>
    </row>
    <row r="31" spans="1:22">
      <c r="A31" s="114" t="s">
        <v>510</v>
      </c>
      <c r="B31" s="114"/>
      <c r="C31" s="114"/>
      <c r="D31" s="115"/>
      <c r="E31" s="115"/>
      <c r="G31" s="115"/>
      <c r="H31" s="115">
        <f>LOGEST(F22:F26,A22:A26)-1</f>
        <v>5.2801487045495143E-3</v>
      </c>
      <c r="I31" s="114"/>
      <c r="J31" s="114"/>
      <c r="K31" s="114"/>
      <c r="L31" s="115"/>
      <c r="M31" s="115"/>
      <c r="O31" s="111"/>
      <c r="P31" s="115">
        <f>LOGEST(N22:N26,A22:A26)-1</f>
        <v>3.5842604175202464E-3</v>
      </c>
      <c r="Q31" s="104"/>
    </row>
    <row r="32" spans="1:22">
      <c r="A32" s="104"/>
      <c r="B32" s="104"/>
      <c r="C32" s="104"/>
      <c r="D32" s="104"/>
      <c r="E32" s="104"/>
      <c r="F32" s="104"/>
      <c r="G32" s="104"/>
      <c r="H32" s="104"/>
      <c r="I32" s="104"/>
      <c r="J32" s="104"/>
      <c r="K32" s="104"/>
      <c r="L32" s="104"/>
      <c r="M32" s="104"/>
      <c r="N32" s="104"/>
      <c r="O32" s="104"/>
      <c r="P32" s="104"/>
      <c r="Q32" s="104"/>
    </row>
    <row r="33" spans="1:17">
      <c r="A33" s="104"/>
      <c r="B33" s="104"/>
      <c r="C33" s="104"/>
      <c r="D33" s="104"/>
      <c r="E33" s="104"/>
      <c r="F33" s="104"/>
      <c r="G33" s="104"/>
      <c r="H33" s="104"/>
      <c r="I33" s="104" t="s">
        <v>237</v>
      </c>
      <c r="J33" s="104"/>
      <c r="K33" s="104"/>
      <c r="L33" s="104"/>
      <c r="M33" s="104"/>
      <c r="O33" s="104"/>
      <c r="P33" s="499">
        <v>2.5000000000000001E-2</v>
      </c>
      <c r="Q33" s="104"/>
    </row>
    <row r="34" spans="1:17">
      <c r="A34" s="104"/>
      <c r="B34" s="104"/>
      <c r="C34" s="104"/>
      <c r="D34" s="104"/>
      <c r="E34" s="104"/>
      <c r="F34" s="104"/>
      <c r="G34" s="104"/>
      <c r="H34" s="104"/>
      <c r="I34" s="104"/>
      <c r="J34" s="104"/>
      <c r="K34" s="104"/>
      <c r="L34" s="104"/>
      <c r="M34" s="104"/>
      <c r="N34" s="104"/>
      <c r="O34" s="104"/>
      <c r="P34" s="104"/>
      <c r="Q34" s="104"/>
    </row>
    <row r="35" spans="1:17" ht="27.75" customHeight="1">
      <c r="A35" s="583" t="s">
        <v>238</v>
      </c>
      <c r="B35" s="583"/>
      <c r="C35" s="583"/>
      <c r="D35" s="583"/>
      <c r="E35" s="583"/>
      <c r="F35" s="583"/>
      <c r="G35" s="583"/>
      <c r="H35" s="583"/>
      <c r="I35" s="583"/>
      <c r="J35" s="583"/>
      <c r="K35" s="583"/>
      <c r="L35" s="583"/>
      <c r="M35" s="583"/>
      <c r="N35" s="583"/>
      <c r="O35" s="583"/>
      <c r="P35" s="583"/>
      <c r="Q35" s="583"/>
    </row>
    <row r="36" spans="1:17" ht="27.75" customHeight="1">
      <c r="A36" s="583" t="s">
        <v>239</v>
      </c>
      <c r="B36" s="583"/>
      <c r="C36" s="583"/>
      <c r="D36" s="583"/>
      <c r="E36" s="583"/>
      <c r="F36" s="583"/>
      <c r="G36" s="583"/>
      <c r="H36" s="583"/>
      <c r="I36" s="583"/>
      <c r="J36" s="583"/>
      <c r="K36" s="583"/>
      <c r="L36" s="583"/>
      <c r="M36" s="583"/>
      <c r="N36" s="583"/>
      <c r="O36" s="583"/>
      <c r="P36" s="583"/>
      <c r="Q36" s="583"/>
    </row>
    <row r="37" spans="1:17">
      <c r="A37" s="584" t="s">
        <v>387</v>
      </c>
      <c r="B37" s="584"/>
      <c r="C37" s="584"/>
      <c r="D37" s="584"/>
      <c r="E37" s="584"/>
      <c r="F37" s="584"/>
      <c r="G37" s="584"/>
      <c r="H37" s="584"/>
      <c r="I37" s="584"/>
      <c r="J37" s="584"/>
      <c r="K37" s="584"/>
      <c r="L37" s="584"/>
      <c r="M37" s="584"/>
      <c r="N37" s="584"/>
      <c r="O37" s="584"/>
      <c r="P37" s="584"/>
      <c r="Q37" s="584"/>
    </row>
    <row r="38" spans="1:17">
      <c r="A38" s="104"/>
      <c r="B38" s="104"/>
      <c r="C38" s="104"/>
      <c r="D38" s="104"/>
      <c r="E38" s="104"/>
      <c r="F38" s="104"/>
      <c r="G38" s="104"/>
      <c r="H38" s="104"/>
      <c r="I38" s="104"/>
      <c r="J38" s="104"/>
      <c r="K38" s="104"/>
      <c r="L38" s="104"/>
      <c r="M38" s="104"/>
      <c r="N38" s="104"/>
      <c r="O38" s="104"/>
      <c r="P38" s="104"/>
      <c r="Q38" s="104"/>
    </row>
    <row r="39" spans="1:17">
      <c r="A39" s="104" t="s">
        <v>222</v>
      </c>
      <c r="B39" s="104"/>
      <c r="C39" s="104"/>
      <c r="D39" s="104"/>
      <c r="E39" s="104"/>
      <c r="F39" s="104"/>
      <c r="G39" s="104"/>
      <c r="H39" s="104"/>
      <c r="I39" s="104"/>
      <c r="J39" s="104"/>
      <c r="K39" s="104"/>
      <c r="L39" s="104"/>
      <c r="M39" s="104"/>
      <c r="N39" s="104"/>
      <c r="O39" s="104"/>
      <c r="P39" s="104"/>
      <c r="Q39" s="104"/>
    </row>
  </sheetData>
  <mergeCells count="11">
    <mergeCell ref="A1:Q1"/>
    <mergeCell ref="A2:Q2"/>
    <mergeCell ref="A3:Q3"/>
    <mergeCell ref="J5:P5"/>
    <mergeCell ref="J6:P6"/>
    <mergeCell ref="J7:P7"/>
    <mergeCell ref="R7:V7"/>
    <mergeCell ref="A35:Q35"/>
    <mergeCell ref="A36:Q36"/>
    <mergeCell ref="A37:Q37"/>
    <mergeCell ref="B7:H7"/>
  </mergeCells>
  <printOptions horizontalCentered="1"/>
  <pageMargins left="0.7" right="0.7" top="0.75" bottom="0.75" header="0.3" footer="0.3"/>
  <pageSetup scale="84" orientation="landscape" horizontalDpi="1200" verticalDpi="1200"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M52"/>
  <sheetViews>
    <sheetView zoomScaleNormal="100" zoomScaleSheetLayoutView="115" workbookViewId="0">
      <selection sqref="A1:I1"/>
    </sheetView>
  </sheetViews>
  <sheetFormatPr defaultColWidth="9.140625" defaultRowHeight="12.75"/>
  <cols>
    <col min="1" max="1" width="9.140625" style="136"/>
    <col min="2" max="2" width="5.85546875" style="136" customWidth="1"/>
    <col min="3" max="3" width="17.7109375" style="136" customWidth="1"/>
    <col min="4" max="4" width="5.85546875" style="136" customWidth="1"/>
    <col min="5" max="5" width="17.7109375" style="136" customWidth="1"/>
    <col min="6" max="6" width="5.85546875" style="136" customWidth="1"/>
    <col min="7" max="7" width="17.7109375" style="136" customWidth="1"/>
    <col min="8" max="8" width="5.85546875" style="136" customWidth="1"/>
    <col min="9" max="9" width="17.7109375" style="136" customWidth="1"/>
    <col min="10" max="10" width="1.5703125" style="136" customWidth="1"/>
    <col min="11" max="11" width="9.140625" style="136"/>
    <col min="12" max="12" width="21.5703125" style="136" bestFit="1" customWidth="1"/>
    <col min="13" max="13" width="21.5703125" style="136" customWidth="1"/>
    <col min="14" max="14" width="21.140625" style="136" customWidth="1"/>
    <col min="15" max="16384" width="9.140625" style="136"/>
  </cols>
  <sheetData>
    <row r="1" spans="1:10">
      <c r="A1" s="589" t="s">
        <v>240</v>
      </c>
      <c r="B1" s="513"/>
      <c r="C1" s="513"/>
      <c r="D1" s="513"/>
      <c r="E1" s="513"/>
      <c r="F1" s="513"/>
      <c r="G1" s="513"/>
      <c r="H1" s="513"/>
      <c r="I1" s="513"/>
      <c r="J1" s="160"/>
    </row>
    <row r="2" spans="1:10">
      <c r="A2" s="547" t="s">
        <v>241</v>
      </c>
      <c r="B2" s="513"/>
      <c r="C2" s="513"/>
      <c r="D2" s="513"/>
      <c r="E2" s="513"/>
      <c r="F2" s="513"/>
      <c r="G2" s="513"/>
      <c r="H2" s="513"/>
      <c r="I2" s="513"/>
      <c r="J2" s="155"/>
    </row>
    <row r="3" spans="1:10">
      <c r="A3" s="547" t="s">
        <v>489</v>
      </c>
      <c r="B3" s="513"/>
      <c r="C3" s="513"/>
      <c r="D3" s="513"/>
      <c r="E3" s="513"/>
      <c r="F3" s="513"/>
      <c r="G3" s="513"/>
      <c r="H3" s="513"/>
      <c r="I3" s="513"/>
      <c r="J3" s="155"/>
    </row>
    <row r="4" spans="1:10">
      <c r="A4" s="158"/>
      <c r="B4" s="158"/>
      <c r="C4" s="158"/>
      <c r="D4" s="158"/>
      <c r="E4" s="158"/>
      <c r="F4" s="158"/>
      <c r="G4" s="158"/>
      <c r="H4" s="158"/>
      <c r="I4" s="158"/>
      <c r="J4" s="158"/>
    </row>
    <row r="5" spans="1:10">
      <c r="A5" s="158"/>
      <c r="B5" s="158"/>
      <c r="C5" s="39" t="s">
        <v>47</v>
      </c>
      <c r="D5" s="39"/>
      <c r="E5" s="39" t="s">
        <v>48</v>
      </c>
      <c r="F5" s="39"/>
      <c r="G5" s="39" t="s">
        <v>49</v>
      </c>
      <c r="H5" s="39"/>
      <c r="I5" s="158" t="s">
        <v>50</v>
      </c>
      <c r="J5" s="39"/>
    </row>
    <row r="6" spans="1:10">
      <c r="A6" s="158"/>
      <c r="B6" s="158"/>
      <c r="C6" s="91"/>
      <c r="D6" s="158"/>
      <c r="E6" s="158"/>
      <c r="F6" s="158"/>
      <c r="G6" s="158"/>
      <c r="H6" s="158"/>
      <c r="I6" s="158" t="s">
        <v>242</v>
      </c>
      <c r="J6" s="158"/>
    </row>
    <row r="7" spans="1:10">
      <c r="A7" s="79" t="s">
        <v>60</v>
      </c>
      <c r="B7" s="80"/>
      <c r="C7" s="158" t="s">
        <v>243</v>
      </c>
      <c r="D7" s="80"/>
      <c r="E7" s="79" t="s">
        <v>244</v>
      </c>
      <c r="F7" s="80"/>
      <c r="G7" s="79" t="s">
        <v>245</v>
      </c>
      <c r="H7" s="80"/>
      <c r="I7" s="158" t="s">
        <v>246</v>
      </c>
      <c r="J7" s="80"/>
    </row>
    <row r="8" spans="1:10">
      <c r="A8" s="38" t="s">
        <v>8</v>
      </c>
      <c r="B8" s="38"/>
      <c r="C8" s="38" t="s">
        <v>63</v>
      </c>
      <c r="D8" s="38"/>
      <c r="E8" s="38" t="s">
        <v>247</v>
      </c>
      <c r="F8" s="38"/>
      <c r="G8" s="38" t="s">
        <v>248</v>
      </c>
      <c r="H8" s="38"/>
      <c r="I8" s="38" t="s">
        <v>249</v>
      </c>
      <c r="J8" s="158"/>
    </row>
    <row r="9" spans="1:10">
      <c r="A9" s="158"/>
      <c r="B9" s="158"/>
      <c r="C9" s="91"/>
      <c r="D9" s="91"/>
      <c r="E9" s="91"/>
      <c r="F9" s="91"/>
      <c r="G9" s="91"/>
      <c r="H9" s="158"/>
      <c r="I9" s="158" t="s">
        <v>250</v>
      </c>
      <c r="J9" s="158"/>
    </row>
    <row r="10" spans="1:10">
      <c r="A10" s="342">
        <v>1986</v>
      </c>
      <c r="B10" s="342"/>
      <c r="C10" s="48">
        <f ca="1">'Exhibit 3.1'!G11</f>
        <v>0.39761852231463063</v>
      </c>
      <c r="D10" s="91"/>
      <c r="E10" s="48">
        <f>'Exhibit 4.1'!L10</f>
        <v>1.5673732363565382</v>
      </c>
      <c r="F10" s="91"/>
      <c r="G10" s="48">
        <f>'Exhibit 5.2'!S12</f>
        <v>2.3905981779551118</v>
      </c>
      <c r="H10" s="342"/>
      <c r="I10" s="48">
        <f t="shared" ref="I10:I41" ca="1" si="0">C10*E10/G10</f>
        <v>0.26069484863770742</v>
      </c>
      <c r="J10" s="342"/>
    </row>
    <row r="11" spans="1:10">
      <c r="A11" s="274">
        <v>1987</v>
      </c>
      <c r="B11" s="44"/>
      <c r="C11" s="48">
        <f ca="1">'Exhibit 3.1'!G12</f>
        <v>0.34738530007611601</v>
      </c>
      <c r="D11" s="44"/>
      <c r="E11" s="48">
        <f>'Exhibit 4.1'!L11</f>
        <v>1.5381484164441004</v>
      </c>
      <c r="F11" s="44"/>
      <c r="G11" s="48">
        <f>'Exhibit 5.2'!S13</f>
        <v>1.9922704459724345</v>
      </c>
      <c r="H11" s="44"/>
      <c r="I11" s="48">
        <f t="shared" ca="1" si="0"/>
        <v>0.26820161403700787</v>
      </c>
      <c r="J11" s="44"/>
    </row>
    <row r="12" spans="1:10">
      <c r="A12" s="274">
        <v>1988</v>
      </c>
      <c r="B12" s="44"/>
      <c r="C12" s="48">
        <f ca="1">'Exhibit 3.1'!G13</f>
        <v>0.33204973947508643</v>
      </c>
      <c r="D12" s="44"/>
      <c r="E12" s="48">
        <f>'Exhibit 4.1'!L12</f>
        <v>1.515417159058227</v>
      </c>
      <c r="F12" s="44"/>
      <c r="G12" s="48">
        <f>'Exhibit 5.2'!S14</f>
        <v>1.7440351144158788</v>
      </c>
      <c r="H12" s="44"/>
      <c r="I12" s="48">
        <f t="shared" ca="1" si="0"/>
        <v>0.28852278758727407</v>
      </c>
      <c r="J12" s="44"/>
    </row>
    <row r="13" spans="1:10">
      <c r="A13" s="274">
        <v>1989</v>
      </c>
      <c r="B13" s="44"/>
      <c r="C13" s="48">
        <f ca="1">'Exhibit 3.1'!G14</f>
        <v>0.34496384439668654</v>
      </c>
      <c r="D13" s="44"/>
      <c r="E13" s="48">
        <f>'Exhibit 4.1'!L13</f>
        <v>1.4930218315844603</v>
      </c>
      <c r="F13" s="44"/>
      <c r="G13" s="48">
        <f>'Exhibit 5.2'!S15</f>
        <v>1.6774180937918435</v>
      </c>
      <c r="H13" s="44"/>
      <c r="I13" s="48">
        <f t="shared" ca="1" si="0"/>
        <v>0.30704244379962586</v>
      </c>
      <c r="J13" s="44"/>
    </row>
    <row r="14" spans="1:10">
      <c r="A14" s="274">
        <v>1990</v>
      </c>
      <c r="B14" s="44"/>
      <c r="C14" s="48">
        <f ca="1">'Exhibit 3.1'!G15</f>
        <v>0.39969730112445873</v>
      </c>
      <c r="D14" s="44"/>
      <c r="E14" s="48">
        <f>'Exhibit 4.1'!L14</f>
        <v>1.1968793896794319</v>
      </c>
      <c r="F14" s="44"/>
      <c r="G14" s="48">
        <f>'Exhibit 5.2'!S16</f>
        <v>1.559596804773657</v>
      </c>
      <c r="H14" s="44"/>
      <c r="I14" s="48">
        <f t="shared" ca="1" si="0"/>
        <v>0.30673919077167289</v>
      </c>
      <c r="J14" s="44"/>
    </row>
    <row r="15" spans="1:10">
      <c r="A15" s="274">
        <v>1991</v>
      </c>
      <c r="B15" s="44"/>
      <c r="C15" s="48">
        <f ca="1">'Exhibit 3.1'!G16</f>
        <v>0.42724478296949503</v>
      </c>
      <c r="D15" s="44"/>
      <c r="E15" s="48">
        <f>'Exhibit 4.1'!L15</f>
        <v>0.98598993142979896</v>
      </c>
      <c r="F15" s="44"/>
      <c r="G15" s="48">
        <f>'Exhibit 5.2'!S17</f>
        <v>1.4101364456392644</v>
      </c>
      <c r="H15" s="44"/>
      <c r="I15" s="48">
        <f t="shared" ca="1" si="0"/>
        <v>0.29873637800550584</v>
      </c>
      <c r="J15" s="44"/>
    </row>
    <row r="16" spans="1:10">
      <c r="A16" s="274">
        <v>1992</v>
      </c>
      <c r="B16" s="44"/>
      <c r="C16" s="48">
        <f ca="1">'Exhibit 3.1'!G17</f>
        <v>0.35196637813068898</v>
      </c>
      <c r="D16" s="44"/>
      <c r="E16" s="48">
        <f>'Exhibit 4.1'!L16</f>
        <v>1.0395889591870233</v>
      </c>
      <c r="F16" s="44"/>
      <c r="G16" s="48">
        <f>'Exhibit 5.2'!S18</f>
        <v>1.2849091082070261</v>
      </c>
      <c r="H16" s="44"/>
      <c r="I16" s="48">
        <f t="shared" ca="1" si="0"/>
        <v>0.28476750485510216</v>
      </c>
      <c r="J16" s="44"/>
    </row>
    <row r="17" spans="1:10">
      <c r="A17" s="274">
        <v>1993</v>
      </c>
      <c r="B17" s="44"/>
      <c r="C17" s="48">
        <f ca="1">'Exhibit 3.1'!G18</f>
        <v>0.28934673461824661</v>
      </c>
      <c r="D17" s="44"/>
      <c r="E17" s="48">
        <f>'Exhibit 4.1'!L17</f>
        <v>1.2617587419848988</v>
      </c>
      <c r="F17" s="44"/>
      <c r="G17" s="48">
        <f>'Exhibit 5.2'!S19</f>
        <v>1.2399497397940842</v>
      </c>
      <c r="H17" s="44"/>
      <c r="I17" s="48">
        <f t="shared" ca="1" si="0"/>
        <v>0.29443594377461318</v>
      </c>
      <c r="J17" s="44"/>
    </row>
    <row r="18" spans="1:10">
      <c r="A18" s="274">
        <v>1994</v>
      </c>
      <c r="B18" s="44"/>
      <c r="C18" s="48">
        <f ca="1">'Exhibit 3.1'!G19</f>
        <v>0.32940552760677311</v>
      </c>
      <c r="D18" s="44"/>
      <c r="E18" s="48">
        <f>'Exhibit 4.1'!L18</f>
        <v>1.3189988220958495</v>
      </c>
      <c r="F18" s="44"/>
      <c r="G18" s="48">
        <f>'Exhibit 5.2'!S20</f>
        <v>1.4038418432745712</v>
      </c>
      <c r="H18" s="44"/>
      <c r="I18" s="48">
        <f t="shared" ca="1" si="0"/>
        <v>0.3094974729430518</v>
      </c>
      <c r="J18" s="44"/>
    </row>
    <row r="19" spans="1:10">
      <c r="A19" s="274">
        <v>1995</v>
      </c>
      <c r="B19" s="44"/>
      <c r="C19" s="48">
        <f ca="1">'Exhibit 3.1'!G20</f>
        <v>0.47565162754591789</v>
      </c>
      <c r="D19" s="44"/>
      <c r="E19" s="48">
        <f>'Exhibit 4.1'!L19</f>
        <v>1.2212140401407854</v>
      </c>
      <c r="F19" s="44"/>
      <c r="G19" s="48">
        <f>'Exhibit 5.2'!S21</f>
        <v>1.8437478289392732</v>
      </c>
      <c r="H19" s="44"/>
      <c r="I19" s="48">
        <f t="shared" ca="1" si="0"/>
        <v>0.31504983309408008</v>
      </c>
      <c r="J19" s="44"/>
    </row>
    <row r="20" spans="1:10">
      <c r="A20" s="274">
        <v>1996</v>
      </c>
      <c r="B20" s="44"/>
      <c r="C20" s="48">
        <f ca="1">'Exhibit 3.1'!G21</f>
        <v>0.53335011723562864</v>
      </c>
      <c r="D20" s="44"/>
      <c r="E20" s="48">
        <f>'Exhibit 4.1'!L20</f>
        <v>1.1414297617184022</v>
      </c>
      <c r="F20" s="44"/>
      <c r="G20" s="48">
        <f>'Exhibit 5.2'!S22</f>
        <v>1.9067125161119276</v>
      </c>
      <c r="H20" s="44"/>
      <c r="I20" s="48">
        <f t="shared" ca="1" si="0"/>
        <v>0.31928342216483818</v>
      </c>
      <c r="J20" s="44"/>
    </row>
    <row r="21" spans="1:10">
      <c r="A21" s="274">
        <v>1997</v>
      </c>
      <c r="B21" s="44"/>
      <c r="C21" s="48">
        <f ca="1">'Exhibit 3.1'!G22</f>
        <v>0.60426976655761289</v>
      </c>
      <c r="D21" s="44"/>
      <c r="E21" s="48">
        <f>'Exhibit 4.1'!L21</f>
        <v>1.0220711629433177</v>
      </c>
      <c r="F21" s="44"/>
      <c r="G21" s="48">
        <f>'Exhibit 5.2'!S23</f>
        <v>1.8512207120325723</v>
      </c>
      <c r="H21" s="44"/>
      <c r="I21" s="48">
        <f t="shared" ca="1" si="0"/>
        <v>0.33362132295879349</v>
      </c>
      <c r="J21" s="44"/>
    </row>
    <row r="22" spans="1:10">
      <c r="A22" s="274">
        <v>1998</v>
      </c>
      <c r="B22" s="44"/>
      <c r="C22" s="48">
        <f ca="1">'Exhibit 3.1'!G23</f>
        <v>0.65659822807499069</v>
      </c>
      <c r="D22" s="44"/>
      <c r="E22" s="48">
        <f>'Exhibit 4.1'!L22</f>
        <v>0.94272223262340571</v>
      </c>
      <c r="F22" s="44"/>
      <c r="G22" s="48">
        <f>'Exhibit 5.2'!S24</f>
        <v>1.8596991444485464</v>
      </c>
      <c r="H22" s="44"/>
      <c r="I22" s="48">
        <f t="shared" ca="1" si="0"/>
        <v>0.33284402445158701</v>
      </c>
      <c r="J22" s="44"/>
    </row>
    <row r="23" spans="1:10">
      <c r="A23" s="274">
        <v>1999</v>
      </c>
      <c r="B23" s="44"/>
      <c r="C23" s="48">
        <f ca="1">'Exhibit 3.1'!G24</f>
        <v>0.69083298201807886</v>
      </c>
      <c r="D23" s="44"/>
      <c r="E23" s="48">
        <f>'Exhibit 4.1'!L23</f>
        <v>0.87354044963376098</v>
      </c>
      <c r="F23" s="44"/>
      <c r="G23" s="48">
        <f>'Exhibit 5.2'!S25</f>
        <v>1.7668580571543273</v>
      </c>
      <c r="H23" s="44"/>
      <c r="I23" s="48">
        <f t="shared" ca="1" si="0"/>
        <v>0.34155010431672389</v>
      </c>
      <c r="J23" s="44"/>
    </row>
    <row r="24" spans="1:10">
      <c r="A24" s="274">
        <v>2000</v>
      </c>
      <c r="B24" s="44"/>
      <c r="C24" s="48">
        <f ca="1">'Exhibit 3.1'!G25</f>
        <v>0.59708447434475498</v>
      </c>
      <c r="D24" s="44"/>
      <c r="E24" s="48">
        <f>'Exhibit 4.1'!L24</f>
        <v>0.8154715369584844</v>
      </c>
      <c r="F24" s="44"/>
      <c r="G24" s="48">
        <f>'Exhibit 5.2'!S26</f>
        <v>1.3983238361557551</v>
      </c>
      <c r="H24" s="44"/>
      <c r="I24" s="48">
        <f t="shared" ca="1" si="0"/>
        <v>0.34820646076273509</v>
      </c>
      <c r="J24" s="44"/>
    </row>
    <row r="25" spans="1:10">
      <c r="A25" s="274">
        <v>2001</v>
      </c>
      <c r="B25" s="44"/>
      <c r="C25" s="48">
        <f ca="1">'Exhibit 3.1'!G26</f>
        <v>0.49473218184452256</v>
      </c>
      <c r="D25" s="44"/>
      <c r="E25" s="48">
        <f>'Exhibit 4.1'!L25</f>
        <v>0.81629272744229131</v>
      </c>
      <c r="F25" s="44"/>
      <c r="G25" s="48">
        <f>'Exhibit 5.2'!S27</f>
        <v>1.1958896202668727</v>
      </c>
      <c r="H25" s="44"/>
      <c r="I25" s="48">
        <f t="shared" ca="1" si="0"/>
        <v>0.33769528159398127</v>
      </c>
      <c r="J25" s="44"/>
    </row>
    <row r="26" spans="1:10">
      <c r="A26" s="274">
        <v>2002</v>
      </c>
      <c r="B26" s="44"/>
      <c r="C26" s="48">
        <f ca="1">'Exhibit 3.1'!G27</f>
        <v>0.36895932708324314</v>
      </c>
      <c r="D26" s="44"/>
      <c r="E26" s="48">
        <f>'Exhibit 4.1'!L26</f>
        <v>0.83611208614077059</v>
      </c>
      <c r="F26" s="44"/>
      <c r="G26" s="48">
        <f>'Exhibit 5.2'!S28</f>
        <v>0.92111875384127351</v>
      </c>
      <c r="H26" s="44"/>
      <c r="I26" s="48">
        <f t="shared" ca="1" si="0"/>
        <v>0.33490942550261477</v>
      </c>
      <c r="J26" s="44"/>
    </row>
    <row r="27" spans="1:10">
      <c r="A27" s="274">
        <v>2003</v>
      </c>
      <c r="B27" s="44"/>
      <c r="C27" s="48">
        <f ca="1">'Exhibit 3.1'!G28</f>
        <v>0.24314740367558724</v>
      </c>
      <c r="D27" s="44"/>
      <c r="E27" s="48">
        <f>'Exhibit 4.1'!L27</f>
        <v>0.83352498531164998</v>
      </c>
      <c r="F27" s="44"/>
      <c r="G27" s="48">
        <f>'Exhibit 5.2'!S29</f>
        <v>0.65565909016401069</v>
      </c>
      <c r="H27" s="44"/>
      <c r="I27" s="48">
        <f t="shared" ca="1" si="0"/>
        <v>0.3091079481969245</v>
      </c>
      <c r="J27" s="44"/>
    </row>
    <row r="28" spans="1:10">
      <c r="A28" s="274">
        <v>2004</v>
      </c>
      <c r="B28" s="44"/>
      <c r="C28" s="48">
        <f ca="1">'Exhibit 3.1'!G29</f>
        <v>0.14534087272672822</v>
      </c>
      <c r="D28" s="44"/>
      <c r="E28" s="48">
        <f>'Exhibit 4.1'!L28</f>
        <v>1.1410031585220195</v>
      </c>
      <c r="F28" s="44"/>
      <c r="G28" s="48">
        <f>'Exhibit 5.2'!S30</f>
        <v>0.5897742295191134</v>
      </c>
      <c r="H28" s="44"/>
      <c r="I28" s="48">
        <f t="shared" ca="1" si="0"/>
        <v>0.28118284343953243</v>
      </c>
      <c r="J28" s="44"/>
    </row>
    <row r="29" spans="1:10">
      <c r="A29" s="274">
        <v>2005</v>
      </c>
      <c r="B29" s="44"/>
      <c r="C29" s="48">
        <f ca="1">'Exhibit 3.1'!G30</f>
        <v>0.12443595386103563</v>
      </c>
      <c r="D29" s="44"/>
      <c r="E29" s="48">
        <f>'Exhibit 4.1'!L29</f>
        <v>1.5464209616252025</v>
      </c>
      <c r="F29" s="44"/>
      <c r="G29" s="48">
        <f>'Exhibit 5.2'!S31</f>
        <v>0.65282877619631796</v>
      </c>
      <c r="H29" s="44"/>
      <c r="I29" s="48">
        <f t="shared" ca="1" si="0"/>
        <v>0.29476391735015156</v>
      </c>
      <c r="J29" s="44"/>
    </row>
    <row r="30" spans="1:10">
      <c r="A30" s="274">
        <v>2006</v>
      </c>
      <c r="B30" s="44"/>
      <c r="C30" s="48">
        <f ca="1">'Exhibit 3.1'!G31</f>
        <v>0.16112216531702891</v>
      </c>
      <c r="D30" s="44"/>
      <c r="E30" s="48">
        <f>'Exhibit 4.1'!L30</f>
        <v>1.5195018079637221</v>
      </c>
      <c r="F30" s="44"/>
      <c r="G30" s="48">
        <f>'Exhibit 5.2'!S32</f>
        <v>0.83940748090382056</v>
      </c>
      <c r="H30" s="44"/>
      <c r="I30" s="48">
        <f t="shared" ca="1" si="0"/>
        <v>0.29166456943967517</v>
      </c>
      <c r="J30" s="44"/>
    </row>
    <row r="31" spans="1:10">
      <c r="A31" s="274">
        <v>2007</v>
      </c>
      <c r="B31" s="44"/>
      <c r="C31" s="48">
        <f ca="1">'Exhibit 3.1'!G32</f>
        <v>0.22243855724364237</v>
      </c>
      <c r="D31" s="44"/>
      <c r="E31" s="48">
        <f>'Exhibit 4.1'!L31</f>
        <v>1.4648116019917581</v>
      </c>
      <c r="F31" s="44"/>
      <c r="G31" s="48">
        <f>'Exhibit 5.2'!S33</f>
        <v>1.0885903728212767</v>
      </c>
      <c r="H31" s="44"/>
      <c r="I31" s="48">
        <f t="shared" ca="1" si="0"/>
        <v>0.29931422095562626</v>
      </c>
      <c r="J31" s="44"/>
    </row>
    <row r="32" spans="1:10">
      <c r="A32" s="274">
        <v>2008</v>
      </c>
      <c r="B32" s="44"/>
      <c r="C32" s="48">
        <f ca="1">'Exhibit 3.1'!G33</f>
        <v>0.28284505668582022</v>
      </c>
      <c r="D32" s="44"/>
      <c r="E32" s="48">
        <f>'Exhibit 4.1'!L32</f>
        <v>1.3756284021287568</v>
      </c>
      <c r="F32" s="44"/>
      <c r="G32" s="48">
        <f>'Exhibit 5.2'!S34</f>
        <v>1.3079517582027753</v>
      </c>
      <c r="H32" s="44"/>
      <c r="I32" s="48">
        <f t="shared" ca="1" si="0"/>
        <v>0.29748015623555657</v>
      </c>
      <c r="J32" s="44"/>
    </row>
    <row r="33" spans="1:13">
      <c r="A33" s="274">
        <v>2009</v>
      </c>
      <c r="B33" s="44"/>
      <c r="C33" s="48">
        <f ca="1">'Exhibit 3.1'!G34</f>
        <v>0.33126404890881672</v>
      </c>
      <c r="D33" s="44"/>
      <c r="E33" s="48">
        <f>'Exhibit 4.1'!L33</f>
        <v>1.3485335156956459</v>
      </c>
      <c r="F33" s="44"/>
      <c r="G33" s="48">
        <f>'Exhibit 5.2'!S35</f>
        <v>1.3516991538008354</v>
      </c>
      <c r="H33" s="44"/>
      <c r="I33" s="48">
        <f t="shared" ca="1" si="0"/>
        <v>0.33048823863094801</v>
      </c>
      <c r="J33" s="44"/>
    </row>
    <row r="34" spans="1:13">
      <c r="A34" s="274">
        <v>2010</v>
      </c>
      <c r="B34" s="44"/>
      <c r="C34" s="48">
        <f ca="1">'Exhibit 3.1'!G35</f>
        <v>0.32115766348997005</v>
      </c>
      <c r="D34" s="44"/>
      <c r="E34" s="48">
        <f>'Exhibit 4.1'!L34</f>
        <v>1.3233112041446491</v>
      </c>
      <c r="F34" s="44"/>
      <c r="G34" s="48">
        <f>'Exhibit 5.2'!S36</f>
        <v>1.2643624622549885</v>
      </c>
      <c r="H34" s="44"/>
      <c r="I34" s="48">
        <f t="shared" ca="1" si="0"/>
        <v>0.33613109142391218</v>
      </c>
      <c r="J34" s="44"/>
    </row>
    <row r="35" spans="1:13">
      <c r="A35" s="274">
        <v>2011</v>
      </c>
      <c r="B35" s="44"/>
      <c r="C35" s="48">
        <f ca="1">'Exhibit 3.1'!G36</f>
        <v>0.30045833169812547</v>
      </c>
      <c r="D35" s="44"/>
      <c r="E35" s="48">
        <f>'Exhibit 4.1'!L35</f>
        <v>1.3050406352511332</v>
      </c>
      <c r="F35" s="44"/>
      <c r="G35" s="48">
        <f>'Exhibit 5.2'!S37</f>
        <v>1.1621675121737505</v>
      </c>
      <c r="H35" s="44"/>
      <c r="I35" s="48">
        <f t="shared" ca="1" si="0"/>
        <v>0.33739570927464946</v>
      </c>
      <c r="J35" s="44"/>
    </row>
    <row r="36" spans="1:13">
      <c r="A36" s="274">
        <v>2012</v>
      </c>
      <c r="B36" s="44"/>
      <c r="C36" s="48">
        <f ca="1">'Exhibit 3.1'!G37</f>
        <v>0.27110204495681239</v>
      </c>
      <c r="D36" s="44"/>
      <c r="E36" s="48">
        <f>'Exhibit 4.1'!L36</f>
        <v>1.2888751872675257</v>
      </c>
      <c r="F36" s="44"/>
      <c r="G36" s="48">
        <f>'Exhibit 5.2'!S38</f>
        <v>1.0349799556686952</v>
      </c>
      <c r="H36" s="44"/>
      <c r="I36" s="48">
        <f t="shared" ca="1" si="0"/>
        <v>0.33760721359725698</v>
      </c>
      <c r="J36" s="44"/>
    </row>
    <row r="37" spans="1:13">
      <c r="A37" s="274">
        <v>2013</v>
      </c>
      <c r="B37" s="48"/>
      <c r="C37" s="48">
        <f ca="1">'Exhibit 3.1'!G38</f>
        <v>0.23469947090817561</v>
      </c>
      <c r="D37" s="48"/>
      <c r="E37" s="48">
        <f>'Exhibit 4.1'!L37</f>
        <v>1.2604084422653514</v>
      </c>
      <c r="F37" s="48"/>
      <c r="G37" s="48">
        <f>'Exhibit 5.2'!S39</f>
        <v>0.90350834288961124</v>
      </c>
      <c r="H37" s="79"/>
      <c r="I37" s="48">
        <f t="shared" ca="1" si="0"/>
        <v>0.32740947757249222</v>
      </c>
      <c r="J37" s="48"/>
    </row>
    <row r="38" spans="1:13">
      <c r="A38" s="274">
        <v>2014</v>
      </c>
      <c r="B38" s="48"/>
      <c r="C38" s="48">
        <f ca="1">'Exhibit 3.1'!G39</f>
        <v>0.2228550894832903</v>
      </c>
      <c r="D38" s="48"/>
      <c r="E38" s="48">
        <f>'Exhibit 4.1'!L38</f>
        <v>1.154273256386156</v>
      </c>
      <c r="F38" s="48"/>
      <c r="G38" s="48">
        <f>'Exhibit 5.2'!S40</f>
        <v>0.83422682382062252</v>
      </c>
      <c r="H38" s="79"/>
      <c r="I38" s="48">
        <f t="shared" ca="1" si="0"/>
        <v>0.30835219210766723</v>
      </c>
      <c r="J38" s="48"/>
    </row>
    <row r="39" spans="1:13">
      <c r="A39" s="274">
        <v>2015</v>
      </c>
      <c r="B39" s="48"/>
      <c r="C39" s="48">
        <f ca="1">'Exhibit 3.1'!G40</f>
        <v>0.21795465433134031</v>
      </c>
      <c r="D39" s="48"/>
      <c r="E39" s="48">
        <f>'Exhibit 4.1'!L39</f>
        <v>1.1378601083405868</v>
      </c>
      <c r="F39" s="48"/>
      <c r="G39" s="48">
        <f>'Exhibit 5.2'!S41</f>
        <v>0.79550140275294157</v>
      </c>
      <c r="H39" s="79"/>
      <c r="I39" s="48">
        <f t="shared" ca="1" si="0"/>
        <v>0.31175546106210433</v>
      </c>
      <c r="J39" s="48"/>
    </row>
    <row r="40" spans="1:13">
      <c r="A40" s="274">
        <v>2016</v>
      </c>
      <c r="B40" s="48"/>
      <c r="C40" s="48">
        <f ca="1">'Exhibit 3.1'!G41</f>
        <v>0.20729327241267548</v>
      </c>
      <c r="D40" s="48"/>
      <c r="E40" s="48">
        <f>'Exhibit 4.1'!L40</f>
        <v>1.1235605531802617</v>
      </c>
      <c r="F40" s="48"/>
      <c r="G40" s="48">
        <f>'Exhibit 5.2'!S42</f>
        <v>0.81436265910148398</v>
      </c>
      <c r="H40" s="79"/>
      <c r="I40" s="48">
        <f t="shared" ca="1" si="0"/>
        <v>0.28599855509031641</v>
      </c>
      <c r="J40" s="48"/>
    </row>
    <row r="41" spans="1:13">
      <c r="A41" s="274">
        <v>2017</v>
      </c>
      <c r="B41" s="48"/>
      <c r="C41" s="48">
        <f ca="1">'Exhibit 3.1'!G42</f>
        <v>0.21270125201911114</v>
      </c>
      <c r="D41" s="48"/>
      <c r="E41" s="48">
        <f>'Exhibit 4.1'!L41</f>
        <v>1.0942314304571468</v>
      </c>
      <c r="F41" s="48"/>
      <c r="G41" s="48">
        <f>'Exhibit 5.2'!S43</f>
        <v>0.85011312821526386</v>
      </c>
      <c r="H41" s="79"/>
      <c r="I41" s="48">
        <f t="shared" ca="1" si="0"/>
        <v>0.27378049759744799</v>
      </c>
      <c r="J41" s="44"/>
    </row>
    <row r="42" spans="1:13" ht="15">
      <c r="A42" s="242">
        <v>2018</v>
      </c>
      <c r="B42" s="44"/>
      <c r="C42" s="48">
        <f ca="1">'Exhibit 3.1'!G43</f>
        <v>0.23200926854804435</v>
      </c>
      <c r="D42" s="48"/>
      <c r="E42" s="48">
        <f>'Exhibit 4.1'!L42</f>
        <v>1.0670302680518617</v>
      </c>
      <c r="F42" s="48"/>
      <c r="G42" s="48">
        <f>'Exhibit 5.2'!S44</f>
        <v>0.89824432519916964</v>
      </c>
      <c r="H42" s="79"/>
      <c r="I42" s="48">
        <f ca="1">C42*E42/G42</f>
        <v>0.27560531702156194</v>
      </c>
      <c r="J42" s="44"/>
      <c r="K42" s="509" t="s">
        <v>290</v>
      </c>
      <c r="L42" s="587"/>
      <c r="M42" s="588"/>
    </row>
    <row r="43" spans="1:13">
      <c r="A43" s="68"/>
      <c r="B43" s="80"/>
      <c r="C43" s="158"/>
      <c r="D43" s="38"/>
      <c r="E43" s="79"/>
      <c r="F43" s="79"/>
      <c r="G43" s="79"/>
      <c r="H43" s="80"/>
      <c r="J43" s="80"/>
      <c r="K43" s="163" t="s">
        <v>201</v>
      </c>
      <c r="L43" s="164" t="s">
        <v>289</v>
      </c>
      <c r="M43" s="147" t="s">
        <v>338</v>
      </c>
    </row>
    <row r="44" spans="1:13">
      <c r="A44" s="68"/>
      <c r="B44" s="80"/>
      <c r="C44" s="363"/>
      <c r="D44" s="38"/>
      <c r="E44" s="79"/>
      <c r="F44" s="79"/>
      <c r="G44" s="79"/>
      <c r="H44" s="80"/>
      <c r="I44" s="79" t="s">
        <v>251</v>
      </c>
      <c r="J44" s="80"/>
      <c r="K44" s="161">
        <v>2018</v>
      </c>
      <c r="L44" s="500">
        <v>1.5E-3</v>
      </c>
      <c r="M44" s="339">
        <f>+'Exhibit 6.2'!$L$44</f>
        <v>-5.0000000000000001E-3</v>
      </c>
    </row>
    <row r="45" spans="1:13">
      <c r="A45" s="49">
        <v>2019</v>
      </c>
      <c r="B45" s="80"/>
      <c r="C45" s="158"/>
      <c r="D45" s="38"/>
      <c r="E45" s="79"/>
      <c r="F45" s="79"/>
      <c r="G45" s="79"/>
      <c r="H45" s="80"/>
      <c r="I45" s="46">
        <f ca="1">AVERAGE(I41*(1+L44)*(1+M44)*(1+L45)*(1+M45),I42*(1+L45)*(1+M45))</f>
        <v>0.26765770862021154</v>
      </c>
      <c r="J45" s="80"/>
      <c r="K45" s="161">
        <f>K44+1</f>
        <v>2019</v>
      </c>
      <c r="L45" s="227">
        <f>ROUND('Exhibit 6.1'!B65,3)</f>
        <v>-1.9E-2</v>
      </c>
      <c r="M45" s="148">
        <f>M44</f>
        <v>-5.0000000000000001E-3</v>
      </c>
    </row>
    <row r="46" spans="1:13">
      <c r="A46" s="49">
        <v>2020</v>
      </c>
      <c r="B46" s="80"/>
      <c r="C46" s="158"/>
      <c r="D46" s="38"/>
      <c r="E46" s="79"/>
      <c r="F46" s="79"/>
      <c r="G46" s="79"/>
      <c r="H46" s="80"/>
      <c r="I46" s="46">
        <f ca="1">I45*(1+L46)*(1+M46)</f>
        <v>0.26099303167556825</v>
      </c>
      <c r="J46" s="80"/>
      <c r="K46" s="161">
        <f t="shared" ref="K46:K47" si="1">K45+1</f>
        <v>2020</v>
      </c>
      <c r="L46" s="227">
        <f>ROUND('Exhibit 6.1'!B66,3)</f>
        <v>-0.02</v>
      </c>
      <c r="M46" s="148">
        <f t="shared" ref="M46:M47" si="2">M45</f>
        <v>-5.0000000000000001E-3</v>
      </c>
    </row>
    <row r="47" spans="1:13">
      <c r="A47" s="243" t="s">
        <v>434</v>
      </c>
      <c r="B47" s="80"/>
      <c r="C47" s="158"/>
      <c r="D47" s="38"/>
      <c r="E47" s="79"/>
      <c r="F47" s="79"/>
      <c r="G47" s="79"/>
      <c r="H47" s="80"/>
      <c r="I47" s="46">
        <f ca="1">I46*((1+L47)^0.5)*((1+M47)^0.5)</f>
        <v>0.25746006817240963</v>
      </c>
      <c r="J47" s="80"/>
      <c r="K47" s="162">
        <f t="shared" si="1"/>
        <v>2021</v>
      </c>
      <c r="L47" s="501">
        <f>ROUND('Exhibit 6.1'!B67,3)</f>
        <v>-2.1999999999999999E-2</v>
      </c>
      <c r="M47" s="149">
        <f t="shared" si="2"/>
        <v>-5.0000000000000001E-3</v>
      </c>
    </row>
    <row r="48" spans="1:13">
      <c r="A48" s="79"/>
      <c r="B48" s="80"/>
      <c r="C48" s="242"/>
      <c r="D48" s="38"/>
      <c r="E48" s="79"/>
      <c r="F48" s="79"/>
      <c r="G48" s="79"/>
      <c r="H48" s="80"/>
      <c r="I48" s="80"/>
      <c r="J48" s="80"/>
    </row>
    <row r="49" spans="1:10">
      <c r="A49" s="45" t="s">
        <v>22</v>
      </c>
      <c r="B49" s="533" t="s">
        <v>252</v>
      </c>
      <c r="C49" s="533"/>
      <c r="D49" s="533"/>
      <c r="E49" s="533"/>
      <c r="F49" s="533"/>
      <c r="G49" s="533"/>
      <c r="H49" s="533"/>
      <c r="I49" s="533"/>
      <c r="J49" s="80"/>
    </row>
    <row r="50" spans="1:10">
      <c r="A50" s="45" t="s">
        <v>28</v>
      </c>
      <c r="B50" s="533" t="s">
        <v>253</v>
      </c>
      <c r="C50" s="533"/>
      <c r="D50" s="533"/>
      <c r="E50" s="533"/>
      <c r="F50" s="533"/>
      <c r="G50" s="533"/>
      <c r="H50" s="533"/>
      <c r="I50" s="533"/>
      <c r="J50" s="80"/>
    </row>
    <row r="51" spans="1:10">
      <c r="A51" s="45" t="s">
        <v>40</v>
      </c>
      <c r="B51" s="533" t="s">
        <v>254</v>
      </c>
      <c r="C51" s="533"/>
      <c r="D51" s="533"/>
      <c r="E51" s="533"/>
      <c r="F51" s="533"/>
      <c r="G51" s="533"/>
      <c r="H51" s="533"/>
      <c r="I51" s="533"/>
      <c r="J51" s="10"/>
    </row>
    <row r="52" spans="1:10" ht="52.5" customHeight="1">
      <c r="A52" s="45" t="s">
        <v>66</v>
      </c>
      <c r="B52" s="533" t="s">
        <v>431</v>
      </c>
      <c r="C52" s="533"/>
      <c r="D52" s="533"/>
      <c r="E52" s="533"/>
      <c r="F52" s="533"/>
      <c r="G52" s="533"/>
      <c r="H52" s="533"/>
      <c r="I52" s="533"/>
      <c r="J52" s="10"/>
    </row>
  </sheetData>
  <mergeCells count="8">
    <mergeCell ref="K42:M42"/>
    <mergeCell ref="B52:I52"/>
    <mergeCell ref="B49:I49"/>
    <mergeCell ref="A1:I1"/>
    <mergeCell ref="A2:I2"/>
    <mergeCell ref="A3:I3"/>
    <mergeCell ref="B50:I50"/>
    <mergeCell ref="B51:I51"/>
  </mergeCells>
  <printOptions horizontalCentered="1"/>
  <pageMargins left="0.7" right="0.7" top="0.75" bottom="0.75" header="0.3" footer="0.3"/>
  <pageSetup scale="86" orientation="portrait" horizontalDpi="1200" verticalDpi="1200"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P53"/>
  <sheetViews>
    <sheetView zoomScaleNormal="100" zoomScaleSheetLayoutView="85" workbookViewId="0">
      <selection sqref="A1:I1"/>
    </sheetView>
  </sheetViews>
  <sheetFormatPr defaultColWidth="9.140625" defaultRowHeight="12.75"/>
  <cols>
    <col min="1" max="1" width="9.140625" style="136"/>
    <col min="2" max="2" width="5.85546875" style="136" customWidth="1"/>
    <col min="3" max="3" width="17.7109375" style="136" customWidth="1"/>
    <col min="4" max="4" width="5.85546875" style="136" customWidth="1"/>
    <col min="5" max="5" width="17.7109375" style="136" customWidth="1"/>
    <col min="6" max="6" width="5.85546875" style="136" customWidth="1"/>
    <col min="7" max="7" width="17.7109375" style="136" customWidth="1"/>
    <col min="8" max="8" width="5.85546875" style="136" customWidth="1"/>
    <col min="9" max="9" width="19.42578125" style="136" customWidth="1"/>
    <col min="10" max="10" width="9.140625" style="136"/>
    <col min="11" max="11" width="10.28515625" style="136" customWidth="1"/>
    <col min="12" max="12" width="21.5703125" style="136" bestFit="1" customWidth="1"/>
    <col min="13" max="13" width="21.140625" style="136" bestFit="1" customWidth="1"/>
    <col min="14" max="16384" width="9.140625" style="136"/>
  </cols>
  <sheetData>
    <row r="1" spans="1:16">
      <c r="A1" s="589" t="s">
        <v>240</v>
      </c>
      <c r="B1" s="513"/>
      <c r="C1" s="513"/>
      <c r="D1" s="513"/>
      <c r="E1" s="513"/>
      <c r="F1" s="513"/>
      <c r="G1" s="513"/>
      <c r="H1" s="513"/>
      <c r="I1" s="513"/>
    </row>
    <row r="2" spans="1:16">
      <c r="A2" s="547" t="s">
        <v>255</v>
      </c>
      <c r="B2" s="513"/>
      <c r="C2" s="513"/>
      <c r="D2" s="513"/>
      <c r="E2" s="513"/>
      <c r="F2" s="513"/>
      <c r="G2" s="513"/>
      <c r="H2" s="513"/>
      <c r="I2" s="513"/>
    </row>
    <row r="3" spans="1:16">
      <c r="A3" s="547" t="s">
        <v>489</v>
      </c>
      <c r="B3" s="513"/>
      <c r="C3" s="513"/>
      <c r="D3" s="513"/>
      <c r="E3" s="513"/>
      <c r="F3" s="513"/>
      <c r="G3" s="513"/>
      <c r="H3" s="513"/>
      <c r="I3" s="513"/>
    </row>
    <row r="4" spans="1:16">
      <c r="A4" s="158"/>
      <c r="B4" s="158"/>
      <c r="C4" s="158"/>
      <c r="D4" s="158"/>
      <c r="E4" s="158"/>
      <c r="F4" s="158"/>
      <c r="G4" s="158"/>
      <c r="H4" s="158"/>
      <c r="I4" s="158"/>
    </row>
    <row r="5" spans="1:16">
      <c r="A5" s="158"/>
      <c r="B5" s="158"/>
      <c r="C5" s="39" t="s">
        <v>47</v>
      </c>
      <c r="D5" s="39"/>
      <c r="E5" s="39" t="s">
        <v>48</v>
      </c>
      <c r="F5" s="39"/>
      <c r="G5" s="39" t="s">
        <v>49</v>
      </c>
      <c r="H5" s="39"/>
      <c r="I5" s="39" t="s">
        <v>50</v>
      </c>
    </row>
    <row r="6" spans="1:16">
      <c r="A6" s="158"/>
      <c r="B6" s="158"/>
      <c r="C6" s="158"/>
      <c r="D6" s="158"/>
      <c r="E6" s="158"/>
      <c r="F6" s="91"/>
      <c r="G6" s="158"/>
      <c r="H6" s="158"/>
      <c r="I6" s="158" t="s">
        <v>256</v>
      </c>
    </row>
    <row r="7" spans="1:16">
      <c r="A7" s="158" t="s">
        <v>60</v>
      </c>
      <c r="B7" s="158"/>
      <c r="C7" s="158" t="s">
        <v>257</v>
      </c>
      <c r="D7" s="80"/>
      <c r="E7" s="79" t="s">
        <v>258</v>
      </c>
      <c r="F7" s="80"/>
      <c r="G7" s="79" t="s">
        <v>245</v>
      </c>
      <c r="H7" s="80"/>
      <c r="I7" s="158" t="s">
        <v>246</v>
      </c>
    </row>
    <row r="8" spans="1:16">
      <c r="A8" s="38" t="s">
        <v>8</v>
      </c>
      <c r="B8" s="38"/>
      <c r="C8" s="38" t="s">
        <v>63</v>
      </c>
      <c r="D8" s="38"/>
      <c r="E8" s="38" t="s">
        <v>259</v>
      </c>
      <c r="F8" s="38"/>
      <c r="G8" s="38" t="s">
        <v>248</v>
      </c>
      <c r="H8" s="38"/>
      <c r="I8" s="38" t="s">
        <v>349</v>
      </c>
    </row>
    <row r="9" spans="1:16">
      <c r="A9" s="158"/>
      <c r="B9" s="158"/>
      <c r="C9" s="91"/>
      <c r="D9" s="158"/>
      <c r="E9" s="91"/>
      <c r="F9" s="158"/>
      <c r="G9" s="91"/>
      <c r="H9" s="158"/>
      <c r="I9" s="158" t="s">
        <v>250</v>
      </c>
    </row>
    <row r="10" spans="1:16">
      <c r="A10" s="342">
        <v>1986</v>
      </c>
      <c r="B10" s="342"/>
      <c r="C10" s="48">
        <f ca="1">'Exhibit 3.2'!G13</f>
        <v>0.34449715091382477</v>
      </c>
      <c r="D10" s="342"/>
      <c r="E10" s="46">
        <f>'Exhibit 4.4'!I10</f>
        <v>0.83201413119420653</v>
      </c>
      <c r="F10" s="342"/>
      <c r="G10" s="48">
        <f>'Exhibit 5.2'!S12</f>
        <v>2.3905981779551118</v>
      </c>
      <c r="H10" s="342"/>
      <c r="I10" s="48">
        <f t="shared" ref="I10:I41" ca="1" si="0">C10*E10/G10</f>
        <v>0.11989739654266036</v>
      </c>
    </row>
    <row r="11" spans="1:16">
      <c r="A11" s="242">
        <v>1987</v>
      </c>
      <c r="B11" s="44"/>
      <c r="C11" s="48">
        <f ca="1">'Exhibit 3.2'!G14</f>
        <v>0.32280290732674111</v>
      </c>
      <c r="D11" s="48"/>
      <c r="E11" s="46">
        <f>'Exhibit 4.4'!I11</f>
        <v>0.8015550396861334</v>
      </c>
      <c r="F11" s="48"/>
      <c r="G11" s="48">
        <f>'Exhibit 5.2'!S13</f>
        <v>1.9922704459724345</v>
      </c>
      <c r="H11" s="79"/>
      <c r="I11" s="48">
        <f t="shared" ca="1" si="0"/>
        <v>0.12987408296707989</v>
      </c>
      <c r="J11" s="145"/>
      <c r="L11" s="145"/>
      <c r="N11" s="145"/>
      <c r="P11" s="145"/>
    </row>
    <row r="12" spans="1:16">
      <c r="A12" s="242">
        <v>1988</v>
      </c>
      <c r="B12" s="44"/>
      <c r="C12" s="48">
        <f ca="1">'Exhibit 3.2'!G15</f>
        <v>0.31356423548503681</v>
      </c>
      <c r="D12" s="48"/>
      <c r="E12" s="46">
        <f>'Exhibit 4.4'!I12</f>
        <v>0.77221102089222871</v>
      </c>
      <c r="F12" s="48"/>
      <c r="G12" s="48">
        <f>'Exhibit 5.2'!S14</f>
        <v>1.7440351144158788</v>
      </c>
      <c r="H12" s="79"/>
      <c r="I12" s="48">
        <f t="shared" ca="1" si="0"/>
        <v>0.13883766238289846</v>
      </c>
      <c r="J12" s="145"/>
      <c r="L12" s="145"/>
      <c r="N12" s="145"/>
      <c r="P12" s="145"/>
    </row>
    <row r="13" spans="1:16">
      <c r="A13" s="242">
        <v>1989</v>
      </c>
      <c r="B13" s="44"/>
      <c r="C13" s="48">
        <f ca="1">'Exhibit 3.2'!G16</f>
        <v>0.33486853461875243</v>
      </c>
      <c r="D13" s="48"/>
      <c r="E13" s="46">
        <f>'Exhibit 4.4'!I13</f>
        <v>0.74971943775944527</v>
      </c>
      <c r="F13" s="48"/>
      <c r="G13" s="48">
        <f>'Exhibit 5.2'!S15</f>
        <v>1.6774180937918435</v>
      </c>
      <c r="H13" s="79"/>
      <c r="I13" s="48">
        <f t="shared" ca="1" si="0"/>
        <v>0.14966897664146397</v>
      </c>
      <c r="J13" s="145"/>
      <c r="L13" s="145"/>
      <c r="N13" s="145"/>
      <c r="P13" s="145"/>
    </row>
    <row r="14" spans="1:16">
      <c r="A14" s="242">
        <v>1990</v>
      </c>
      <c r="B14" s="44"/>
      <c r="C14" s="48">
        <f ca="1">'Exhibit 3.2'!G17</f>
        <v>0.37729794080428575</v>
      </c>
      <c r="D14" s="48"/>
      <c r="E14" s="46">
        <f>'Exhibit 4.4'!I14</f>
        <v>0.60722771149112886</v>
      </c>
      <c r="F14" s="48"/>
      <c r="G14" s="48">
        <f>'Exhibit 5.2'!S16</f>
        <v>1.559596804773657</v>
      </c>
      <c r="H14" s="79"/>
      <c r="I14" s="48">
        <f t="shared" ca="1" si="0"/>
        <v>0.14690063767997508</v>
      </c>
      <c r="J14" s="145"/>
      <c r="L14" s="145"/>
      <c r="N14" s="145"/>
      <c r="P14" s="145"/>
    </row>
    <row r="15" spans="1:16">
      <c r="A15" s="242">
        <v>1991</v>
      </c>
      <c r="B15" s="44"/>
      <c r="C15" s="48">
        <f ca="1">'Exhibit 3.2'!G18</f>
        <v>0.39537531047180063</v>
      </c>
      <c r="D15" s="48"/>
      <c r="E15" s="46">
        <f>'Exhibit 4.4'!I15</f>
        <v>0.51931792254444842</v>
      </c>
      <c r="F15" s="48"/>
      <c r="G15" s="48">
        <f>'Exhibit 5.2'!S17</f>
        <v>1.4101364456392644</v>
      </c>
      <c r="H15" s="79"/>
      <c r="I15" s="48">
        <f t="shared" ca="1" si="0"/>
        <v>0.14560682088214558</v>
      </c>
      <c r="J15" s="145"/>
      <c r="L15" s="145"/>
      <c r="N15" s="145"/>
      <c r="P15" s="145"/>
    </row>
    <row r="16" spans="1:16">
      <c r="A16" s="242">
        <v>1992</v>
      </c>
      <c r="B16" s="44"/>
      <c r="C16" s="48">
        <f ca="1">'Exhibit 3.2'!G19</f>
        <v>0.32891126728463005</v>
      </c>
      <c r="D16" s="48"/>
      <c r="E16" s="46">
        <f>'Exhibit 4.4'!I16</f>
        <v>0.54768967152245773</v>
      </c>
      <c r="F16" s="48"/>
      <c r="G16" s="48">
        <f>'Exhibit 5.2'!S18</f>
        <v>1.2849091082070261</v>
      </c>
      <c r="H16" s="79"/>
      <c r="I16" s="48">
        <f t="shared" ca="1" si="0"/>
        <v>0.14019770175847315</v>
      </c>
      <c r="J16" s="145"/>
      <c r="L16" s="145"/>
      <c r="N16" s="145"/>
      <c r="P16" s="145"/>
    </row>
    <row r="17" spans="1:16">
      <c r="A17" s="242">
        <v>1993</v>
      </c>
      <c r="B17" s="44"/>
      <c r="C17" s="48">
        <f ca="1">'Exhibit 3.2'!G20</f>
        <v>0.27521053400251744</v>
      </c>
      <c r="D17" s="48"/>
      <c r="E17" s="46">
        <f>'Exhibit 4.4'!I17</f>
        <v>0.65573891403277529</v>
      </c>
      <c r="F17" s="48"/>
      <c r="G17" s="48">
        <f>'Exhibit 5.2'!S19</f>
        <v>1.2399497397940842</v>
      </c>
      <c r="H17" s="79"/>
      <c r="I17" s="48">
        <f t="shared" ca="1" si="0"/>
        <v>0.14554320300689011</v>
      </c>
      <c r="J17" s="145"/>
      <c r="L17" s="145"/>
      <c r="N17" s="145"/>
      <c r="P17" s="145"/>
    </row>
    <row r="18" spans="1:16">
      <c r="A18" s="242">
        <v>1994</v>
      </c>
      <c r="B18" s="44"/>
      <c r="C18" s="48">
        <f ca="1">'Exhibit 3.2'!G21</f>
        <v>0.31807960658286261</v>
      </c>
      <c r="D18" s="48"/>
      <c r="E18" s="46">
        <f>'Exhibit 4.4'!I18</f>
        <v>0.68703126875940124</v>
      </c>
      <c r="F18" s="48"/>
      <c r="G18" s="48">
        <f>'Exhibit 5.2'!S20</f>
        <v>1.4038418432745712</v>
      </c>
      <c r="H18" s="79"/>
      <c r="I18" s="48">
        <f t="shared" ca="1" si="0"/>
        <v>0.15566613627029055</v>
      </c>
      <c r="J18" s="145"/>
      <c r="L18" s="145"/>
      <c r="N18" s="145"/>
      <c r="P18" s="145"/>
    </row>
    <row r="19" spans="1:16">
      <c r="A19" s="242">
        <v>1995</v>
      </c>
      <c r="B19" s="44"/>
      <c r="C19" s="48">
        <f ca="1">'Exhibit 3.2'!G22</f>
        <v>0.46741755787883871</v>
      </c>
      <c r="D19" s="48"/>
      <c r="E19" s="46">
        <f>'Exhibit 4.4'!I19</f>
        <v>0.67751556268153912</v>
      </c>
      <c r="F19" s="48"/>
      <c r="G19" s="48">
        <f>'Exhibit 5.2'!S21</f>
        <v>1.8437478289392732</v>
      </c>
      <c r="H19" s="79"/>
      <c r="I19" s="48">
        <f t="shared" ca="1" si="0"/>
        <v>0.17176029431080225</v>
      </c>
      <c r="J19" s="145"/>
      <c r="L19" s="145"/>
      <c r="N19" s="145"/>
      <c r="P19" s="145"/>
    </row>
    <row r="20" spans="1:16">
      <c r="A20" s="242">
        <v>1996</v>
      </c>
      <c r="B20" s="44"/>
      <c r="C20" s="48">
        <f ca="1">'Exhibit 3.2'!G23</f>
        <v>0.4999589097402381</v>
      </c>
      <c r="D20" s="48"/>
      <c r="E20" s="46">
        <f>'Exhibit 4.4'!I20</f>
        <v>0.66813494801145823</v>
      </c>
      <c r="F20" s="48"/>
      <c r="G20" s="48">
        <f>'Exhibit 5.2'!S22</f>
        <v>1.9067125161119276</v>
      </c>
      <c r="H20" s="79"/>
      <c r="I20" s="48">
        <f t="shared" ca="1" si="0"/>
        <v>0.17519160195597655</v>
      </c>
      <c r="J20" s="145"/>
      <c r="L20" s="145"/>
      <c r="N20" s="145"/>
      <c r="P20" s="145"/>
    </row>
    <row r="21" spans="1:16">
      <c r="A21" s="242">
        <v>1997</v>
      </c>
      <c r="B21" s="44"/>
      <c r="C21" s="48">
        <f ca="1">'Exhibit 3.2'!G24</f>
        <v>0.56275829483742634</v>
      </c>
      <c r="D21" s="48"/>
      <c r="E21" s="46">
        <f>'Exhibit 4.4'!I21</f>
        <v>0.66216618204649125</v>
      </c>
      <c r="F21" s="48"/>
      <c r="G21" s="48">
        <f>'Exhibit 5.2'!S23</f>
        <v>1.8512207120325723</v>
      </c>
      <c r="H21" s="79"/>
      <c r="I21" s="48">
        <f t="shared" ca="1" si="0"/>
        <v>0.20129394030944467</v>
      </c>
      <c r="J21" s="145"/>
      <c r="L21" s="145"/>
      <c r="N21" s="145"/>
      <c r="P21" s="145"/>
    </row>
    <row r="22" spans="1:16">
      <c r="A22" s="242">
        <v>1998</v>
      </c>
      <c r="B22" s="44"/>
      <c r="C22" s="48">
        <f ca="1">'Exhibit 3.2'!G25</f>
        <v>0.67851950324035171</v>
      </c>
      <c r="D22" s="48"/>
      <c r="E22" s="46">
        <f>'Exhibit 4.4'!I22</f>
        <v>0.58340221570816364</v>
      </c>
      <c r="F22" s="48"/>
      <c r="G22" s="48">
        <f>'Exhibit 5.2'!S24</f>
        <v>1.8596991444485464</v>
      </c>
      <c r="H22" s="79"/>
      <c r="I22" s="48">
        <f t="shared" ca="1" si="0"/>
        <v>0.2128568928868354</v>
      </c>
      <c r="J22" s="145"/>
      <c r="L22" s="145"/>
      <c r="N22" s="145"/>
      <c r="P22" s="145"/>
    </row>
    <row r="23" spans="1:16">
      <c r="A23" s="242">
        <v>1999</v>
      </c>
      <c r="B23" s="44"/>
      <c r="C23" s="48">
        <f ca="1">'Exhibit 3.2'!G26</f>
        <v>0.66441342631420519</v>
      </c>
      <c r="D23" s="48"/>
      <c r="E23" s="46">
        <f>'Exhibit 4.4'!I23</f>
        <v>0.50548214331600205</v>
      </c>
      <c r="F23" s="48"/>
      <c r="G23" s="48">
        <f>'Exhibit 5.2'!S25</f>
        <v>1.7668580571543273</v>
      </c>
      <c r="H23" s="79"/>
      <c r="I23" s="48">
        <f t="shared" ca="1" si="0"/>
        <v>0.1900826845831329</v>
      </c>
      <c r="J23" s="145"/>
      <c r="L23" s="145"/>
      <c r="N23" s="145"/>
      <c r="P23" s="145"/>
    </row>
    <row r="24" spans="1:16">
      <c r="A24" s="242">
        <v>2000</v>
      </c>
      <c r="B24" s="44"/>
      <c r="C24" s="48">
        <f ca="1">'Exhibit 3.2'!G27</f>
        <v>0.6050391517074174</v>
      </c>
      <c r="D24" s="48"/>
      <c r="E24" s="46">
        <f>'Exhibit 4.4'!I24</f>
        <v>0.46451643859620295</v>
      </c>
      <c r="F24" s="48"/>
      <c r="G24" s="48">
        <f>'Exhibit 5.2'!S26</f>
        <v>1.3983238361557551</v>
      </c>
      <c r="H24" s="79"/>
      <c r="I24" s="48">
        <f t="shared" ca="1" si="0"/>
        <v>0.2009910899717309</v>
      </c>
      <c r="J24" s="145"/>
      <c r="L24" s="145"/>
      <c r="N24" s="145"/>
      <c r="P24" s="145"/>
    </row>
    <row r="25" spans="1:16" s="139" customFormat="1">
      <c r="A25" s="55">
        <v>2001</v>
      </c>
      <c r="B25" s="42"/>
      <c r="C25" s="48">
        <f ca="1">'Exhibit 3.2'!G28</f>
        <v>0.53902028148365211</v>
      </c>
      <c r="D25" s="46"/>
      <c r="E25" s="46">
        <f>'Exhibit 4.4'!I25</f>
        <v>0.42347571331590533</v>
      </c>
      <c r="F25" s="46"/>
      <c r="G25" s="46">
        <f>'Exhibit 5.2'!S27</f>
        <v>1.1958896202668727</v>
      </c>
      <c r="H25" s="146"/>
      <c r="I25" s="46">
        <f t="shared" ca="1" si="0"/>
        <v>0.19087212927066891</v>
      </c>
      <c r="J25" s="145"/>
      <c r="K25" s="136"/>
      <c r="L25" s="145"/>
      <c r="M25" s="136"/>
      <c r="N25" s="145"/>
      <c r="O25" s="136"/>
      <c r="P25" s="145"/>
    </row>
    <row r="26" spans="1:16" s="139" customFormat="1">
      <c r="A26" s="55">
        <v>2002</v>
      </c>
      <c r="B26" s="42"/>
      <c r="C26" s="48">
        <f ca="1">'Exhibit 3.2'!G29</f>
        <v>0.4209783258041912</v>
      </c>
      <c r="D26" s="46"/>
      <c r="E26" s="46">
        <f>'Exhibit 4.4'!I26</f>
        <v>0.43980113131013765</v>
      </c>
      <c r="F26" s="46"/>
      <c r="G26" s="46">
        <f>'Exhibit 5.2'!S28</f>
        <v>0.92111875384127351</v>
      </c>
      <c r="H26" s="146"/>
      <c r="I26" s="46">
        <f t="shared" ca="1" si="0"/>
        <v>0.20100203494242974</v>
      </c>
      <c r="J26" s="145"/>
      <c r="K26" s="136"/>
      <c r="L26" s="145"/>
      <c r="M26" s="136"/>
      <c r="N26" s="145"/>
      <c r="O26" s="136"/>
      <c r="P26" s="145"/>
    </row>
    <row r="27" spans="1:16" s="139" customFormat="1">
      <c r="A27" s="55">
        <v>2003</v>
      </c>
      <c r="B27" s="42"/>
      <c r="C27" s="48">
        <f ca="1">'Exhibit 3.2'!G30</f>
        <v>0.27085657977133343</v>
      </c>
      <c r="D27" s="46"/>
      <c r="E27" s="46">
        <f>'Exhibit 4.4'!I27</f>
        <v>0.46141375142697727</v>
      </c>
      <c r="F27" s="46"/>
      <c r="G27" s="46">
        <f>'Exhibit 5.2'!S29</f>
        <v>0.65565909016401069</v>
      </c>
      <c r="H27" s="146"/>
      <c r="I27" s="46">
        <f t="shared" ca="1" si="0"/>
        <v>0.19061270170098421</v>
      </c>
      <c r="J27" s="145"/>
      <c r="K27" s="136"/>
      <c r="L27" s="145"/>
      <c r="M27" s="136"/>
      <c r="N27" s="145"/>
      <c r="O27" s="136"/>
      <c r="P27" s="145"/>
    </row>
    <row r="28" spans="1:16" s="139" customFormat="1">
      <c r="A28" s="55">
        <v>2004</v>
      </c>
      <c r="B28" s="42"/>
      <c r="C28" s="48">
        <f ca="1">'Exhibit 3.2'!G31</f>
        <v>0.18556347903998943</v>
      </c>
      <c r="D28" s="46"/>
      <c r="E28" s="46">
        <f>'Exhibit 4.4'!I28</f>
        <v>0.69752645718363915</v>
      </c>
      <c r="F28" s="46"/>
      <c r="G28" s="46">
        <f>'Exhibit 5.2'!S30</f>
        <v>0.5897742295191134</v>
      </c>
      <c r="H28" s="146"/>
      <c r="I28" s="46">
        <f t="shared" ca="1" si="0"/>
        <v>0.21946607640515692</v>
      </c>
      <c r="J28" s="145"/>
      <c r="K28" s="136"/>
      <c r="L28" s="145"/>
      <c r="M28" s="136"/>
      <c r="N28" s="145"/>
      <c r="O28" s="136"/>
      <c r="P28" s="145"/>
    </row>
    <row r="29" spans="1:16" s="139" customFormat="1">
      <c r="A29" s="55">
        <v>2005</v>
      </c>
      <c r="B29" s="42"/>
      <c r="C29" s="46">
        <f ca="1">'Exhibit 3.2'!G32</f>
        <v>0.18259764790494956</v>
      </c>
      <c r="D29" s="46"/>
      <c r="E29" s="46">
        <f>'Exhibit 4.4'!I29</f>
        <v>0.81013525805300712</v>
      </c>
      <c r="F29" s="46"/>
      <c r="G29" s="46">
        <f>'Exhibit 5.2'!S31</f>
        <v>0.65282877619631796</v>
      </c>
      <c r="H29" s="146"/>
      <c r="I29" s="46">
        <f t="shared" ca="1" si="0"/>
        <v>0.22659661767247749</v>
      </c>
      <c r="J29" s="145"/>
      <c r="K29" s="136"/>
      <c r="L29" s="145"/>
      <c r="M29" s="136"/>
      <c r="N29" s="145"/>
      <c r="O29" s="136"/>
      <c r="P29" s="145"/>
    </row>
    <row r="30" spans="1:16" s="139" customFormat="1">
      <c r="A30" s="55">
        <v>2006</v>
      </c>
      <c r="B30" s="42"/>
      <c r="C30" s="46">
        <f ca="1">'Exhibit 3.2'!G33</f>
        <v>0.23770382844521121</v>
      </c>
      <c r="D30" s="46"/>
      <c r="E30" s="46">
        <f>'Exhibit 4.4'!I30</f>
        <v>0.85116584015978058</v>
      </c>
      <c r="F30" s="46"/>
      <c r="G30" s="46">
        <f>'Exhibit 5.2'!S32</f>
        <v>0.83940748090382056</v>
      </c>
      <c r="H30" s="146"/>
      <c r="I30" s="46">
        <f t="shared" ca="1" si="0"/>
        <v>0.24103356647466789</v>
      </c>
      <c r="J30" s="145"/>
      <c r="K30" s="136"/>
      <c r="L30" s="145"/>
      <c r="M30" s="136"/>
      <c r="N30" s="145"/>
      <c r="O30" s="136"/>
      <c r="P30" s="145"/>
    </row>
    <row r="31" spans="1:16" s="139" customFormat="1">
      <c r="A31" s="55">
        <v>2007</v>
      </c>
      <c r="B31" s="42"/>
      <c r="C31" s="46">
        <f ca="1">'Exhibit 3.2'!G34</f>
        <v>0.33756527527806174</v>
      </c>
      <c r="D31" s="46"/>
      <c r="E31" s="46">
        <f>'Exhibit 4.4'!I31</f>
        <v>0.83528047606595823</v>
      </c>
      <c r="F31" s="46"/>
      <c r="G31" s="46">
        <f>'Exhibit 5.2'!S33</f>
        <v>1.0885903728212767</v>
      </c>
      <c r="H31" s="146"/>
      <c r="I31" s="46">
        <f t="shared" ca="1" si="0"/>
        <v>0.25901541192840194</v>
      </c>
      <c r="J31" s="145"/>
      <c r="K31" s="136"/>
      <c r="L31" s="145"/>
      <c r="M31" s="136"/>
      <c r="N31" s="145"/>
      <c r="O31" s="136"/>
      <c r="P31" s="145"/>
    </row>
    <row r="32" spans="1:16" s="139" customFormat="1">
      <c r="A32" s="55">
        <v>2008</v>
      </c>
      <c r="B32" s="42"/>
      <c r="C32" s="46">
        <f ca="1">'Exhibit 3.2'!G35</f>
        <v>0.42594793325063518</v>
      </c>
      <c r="D32" s="46"/>
      <c r="E32" s="46">
        <f>'Exhibit 4.4'!I32</f>
        <v>0.82946096796121094</v>
      </c>
      <c r="F32" s="46"/>
      <c r="G32" s="46">
        <f>'Exhibit 5.2'!S34</f>
        <v>1.3079517582027753</v>
      </c>
      <c r="H32" s="146"/>
      <c r="I32" s="46">
        <f t="shared" ca="1" si="0"/>
        <v>0.27012248945681294</v>
      </c>
      <c r="J32" s="145"/>
      <c r="K32" s="136"/>
      <c r="L32" s="145"/>
      <c r="M32" s="136"/>
      <c r="N32" s="145"/>
      <c r="O32" s="136"/>
      <c r="P32" s="145"/>
    </row>
    <row r="33" spans="1:16" s="139" customFormat="1">
      <c r="A33" s="55">
        <v>2009</v>
      </c>
      <c r="B33" s="42"/>
      <c r="C33" s="46">
        <f ca="1">'Exhibit 3.2'!G36</f>
        <v>0.50344439311103262</v>
      </c>
      <c r="D33" s="46"/>
      <c r="E33" s="46">
        <f>'Exhibit 4.4'!I33</f>
        <v>0.81797657682262126</v>
      </c>
      <c r="F33" s="46"/>
      <c r="G33" s="46">
        <f>'Exhibit 5.2'!S35</f>
        <v>1.3516991538008354</v>
      </c>
      <c r="H33" s="146"/>
      <c r="I33" s="46">
        <f t="shared" ca="1" si="0"/>
        <v>0.30465782281475157</v>
      </c>
      <c r="J33" s="145"/>
      <c r="K33" s="136"/>
      <c r="L33" s="145"/>
      <c r="M33" s="136"/>
      <c r="N33" s="145"/>
      <c r="O33" s="136"/>
      <c r="P33" s="145"/>
    </row>
    <row r="34" spans="1:16" s="139" customFormat="1">
      <c r="A34" s="382">
        <v>2010</v>
      </c>
      <c r="B34" s="53"/>
      <c r="C34" s="53">
        <f ca="1">'Exhibit 3.2'!G37</f>
        <v>0.50080655817568553</v>
      </c>
      <c r="D34" s="53"/>
      <c r="E34" s="53">
        <f>'Exhibit 4.4'!I34</f>
        <v>0.81552998686203526</v>
      </c>
      <c r="F34" s="53"/>
      <c r="G34" s="53">
        <f>'Exhibit 5.2'!S36</f>
        <v>1.2643624622549885</v>
      </c>
      <c r="H34" s="382"/>
      <c r="I34" s="53">
        <f t="shared" ca="1" si="0"/>
        <v>0.32302664623640959</v>
      </c>
      <c r="J34" s="145"/>
      <c r="K34" s="136"/>
      <c r="L34" s="145"/>
      <c r="M34" s="136"/>
      <c r="N34" s="145"/>
      <c r="O34" s="136"/>
      <c r="P34" s="145"/>
    </row>
    <row r="35" spans="1:16" s="139" customFormat="1">
      <c r="A35" s="146">
        <v>2011</v>
      </c>
      <c r="B35" s="46"/>
      <c r="C35" s="46">
        <f ca="1">'Exhibit 3.2'!G38</f>
        <v>0.4354962785593362</v>
      </c>
      <c r="D35" s="46"/>
      <c r="E35" s="46">
        <f>'Exhibit 4.4'!I35</f>
        <v>0.82968440277334865</v>
      </c>
      <c r="F35" s="46"/>
      <c r="G35" s="46">
        <f>'Exhibit 5.2'!S37</f>
        <v>1.1621675121737505</v>
      </c>
      <c r="H35" s="146"/>
      <c r="I35" s="46">
        <f t="shared" ca="1" si="0"/>
        <v>0.31090567065559022</v>
      </c>
      <c r="J35" s="145"/>
      <c r="K35" s="136"/>
      <c r="L35" s="145"/>
      <c r="M35" s="136"/>
      <c r="N35" s="145"/>
      <c r="O35" s="136"/>
      <c r="P35" s="145"/>
    </row>
    <row r="36" spans="1:16" s="139" customFormat="1">
      <c r="A36" s="146">
        <v>2012</v>
      </c>
      <c r="B36" s="46"/>
      <c r="C36" s="46">
        <f ca="1">'Exhibit 3.2'!G39</f>
        <v>0.37886151531857143</v>
      </c>
      <c r="D36" s="46"/>
      <c r="E36" s="46">
        <f>'Exhibit 4.4'!I36</f>
        <v>0.86700371048757607</v>
      </c>
      <c r="F36" s="46"/>
      <c r="G36" s="46">
        <f>'Exhibit 5.2'!S38</f>
        <v>1.0349799556686952</v>
      </c>
      <c r="H36" s="146"/>
      <c r="I36" s="46">
        <f t="shared" ca="1" si="0"/>
        <v>0.31737265803367321</v>
      </c>
      <c r="J36" s="145"/>
      <c r="K36" s="136"/>
      <c r="L36" s="145"/>
      <c r="M36" s="136"/>
      <c r="N36" s="145"/>
      <c r="O36" s="136"/>
      <c r="P36" s="145"/>
    </row>
    <row r="37" spans="1:16" s="139" customFormat="1">
      <c r="A37" s="146">
        <v>2013</v>
      </c>
      <c r="B37" s="46"/>
      <c r="C37" s="46">
        <f ca="1">'Exhibit 3.2'!G40</f>
        <v>0.3126042161896358</v>
      </c>
      <c r="D37" s="46"/>
      <c r="E37" s="46">
        <f>'Exhibit 4.4'!I37</f>
        <v>0.94162173791269477</v>
      </c>
      <c r="F37" s="46"/>
      <c r="G37" s="46">
        <f>'Exhibit 5.2'!S39</f>
        <v>0.90350834288961124</v>
      </c>
      <c r="H37" s="146"/>
      <c r="I37" s="46">
        <f t="shared" ca="1" si="0"/>
        <v>0.32579104293150313</v>
      </c>
      <c r="J37" s="145"/>
      <c r="K37" s="136"/>
      <c r="L37" s="145"/>
      <c r="M37" s="136"/>
      <c r="N37" s="145"/>
      <c r="O37" s="136"/>
      <c r="P37" s="145"/>
    </row>
    <row r="38" spans="1:16" s="139" customFormat="1">
      <c r="A38" s="55">
        <v>2014</v>
      </c>
      <c r="B38" s="46"/>
      <c r="C38" s="46">
        <f ca="1">'Exhibit 3.2'!G41</f>
        <v>0.28116401737862406</v>
      </c>
      <c r="D38" s="46"/>
      <c r="E38" s="46">
        <f>'Exhibit 4.4'!I38</f>
        <v>0.98486447903802565</v>
      </c>
      <c r="F38" s="46"/>
      <c r="G38" s="46">
        <f>'Exhibit 5.2'!S40</f>
        <v>0.83422682382062252</v>
      </c>
      <c r="H38" s="146"/>
      <c r="I38" s="46">
        <f t="shared" ca="1" si="0"/>
        <v>0.33193424808811772</v>
      </c>
      <c r="J38" s="145"/>
      <c r="K38" s="136"/>
      <c r="L38" s="145"/>
      <c r="M38" s="136"/>
      <c r="N38" s="145"/>
      <c r="O38" s="136"/>
      <c r="P38" s="145"/>
    </row>
    <row r="39" spans="1:16">
      <c r="A39" s="242">
        <v>2015</v>
      </c>
      <c r="B39" s="48"/>
      <c r="C39" s="48">
        <f ca="1">'Exhibit 3.2'!G42</f>
        <v>0.26844478137813049</v>
      </c>
      <c r="D39" s="48"/>
      <c r="E39" s="46">
        <f>'Exhibit 4.4'!I39</f>
        <v>1.0029578384435474</v>
      </c>
      <c r="F39" s="48"/>
      <c r="G39" s="48">
        <f>'Exhibit 5.2'!S41</f>
        <v>0.79550140275294157</v>
      </c>
      <c r="H39" s="79"/>
      <c r="I39" s="48">
        <f t="shared" ca="1" si="0"/>
        <v>0.33845169441653106</v>
      </c>
      <c r="J39" s="145"/>
      <c r="L39" s="145"/>
      <c r="N39" s="145"/>
      <c r="P39" s="145"/>
    </row>
    <row r="40" spans="1:16">
      <c r="A40" s="79">
        <v>2016</v>
      </c>
      <c r="B40" s="48"/>
      <c r="C40" s="48">
        <f ca="1">'Exhibit 3.2'!G43</f>
        <v>0.25579055455067817</v>
      </c>
      <c r="D40" s="48"/>
      <c r="E40" s="46">
        <f>'Exhibit 4.4'!I40</f>
        <v>1.0039818999815286</v>
      </c>
      <c r="F40" s="48"/>
      <c r="G40" s="48">
        <f>'Exhibit 5.2'!S42</f>
        <v>0.81436265910148398</v>
      </c>
      <c r="H40" s="48"/>
      <c r="I40" s="48">
        <f t="shared" ca="1" si="0"/>
        <v>0.31534978192451207</v>
      </c>
      <c r="J40" s="145"/>
      <c r="L40" s="145"/>
      <c r="N40" s="145"/>
      <c r="P40" s="145"/>
    </row>
    <row r="41" spans="1:16">
      <c r="A41" s="242">
        <v>2017</v>
      </c>
      <c r="B41" s="48"/>
      <c r="C41" s="48">
        <f ca="1">'Exhibit 3.2'!G44</f>
        <v>0.26647697667915615</v>
      </c>
      <c r="D41" s="48"/>
      <c r="E41" s="46">
        <f>'Exhibit 4.4'!I41</f>
        <v>1.0060019519009458</v>
      </c>
      <c r="F41" s="48"/>
      <c r="G41" s="48">
        <f>'Exhibit 5.2'!S43</f>
        <v>0.85011312821526386</v>
      </c>
      <c r="H41" s="48"/>
      <c r="I41" s="48">
        <f t="shared" ca="1" si="0"/>
        <v>0.31534198188268914</v>
      </c>
      <c r="J41" s="145"/>
      <c r="L41" s="145"/>
      <c r="N41" s="145"/>
      <c r="P41" s="145"/>
    </row>
    <row r="42" spans="1:16" ht="15">
      <c r="A42" s="242">
        <v>2018</v>
      </c>
      <c r="B42" s="44"/>
      <c r="C42" s="48">
        <f ca="1">'Exhibit 3.2'!G45</f>
        <v>0.28710429428920919</v>
      </c>
      <c r="D42" s="48"/>
      <c r="E42" s="46">
        <f>'Exhibit 4.4'!I42</f>
        <v>1.0070150089999996</v>
      </c>
      <c r="F42" s="48"/>
      <c r="G42" s="48">
        <f>'Exhibit 5.2'!S44</f>
        <v>0.89824432519916964</v>
      </c>
      <c r="H42" s="48"/>
      <c r="I42" s="48">
        <f ca="1">C42*E42/G42</f>
        <v>0.32187048154574172</v>
      </c>
      <c r="J42" s="145"/>
      <c r="K42" s="509" t="s">
        <v>290</v>
      </c>
      <c r="L42" s="587"/>
      <c r="M42" s="588"/>
      <c r="N42" s="145"/>
      <c r="P42" s="145"/>
    </row>
    <row r="43" spans="1:16">
      <c r="A43" s="242"/>
      <c r="B43" s="158"/>
      <c r="C43" s="158"/>
      <c r="D43" s="158"/>
      <c r="E43" s="79"/>
      <c r="F43" s="79"/>
      <c r="G43" s="79"/>
      <c r="H43" s="80"/>
      <c r="J43" s="145"/>
      <c r="K43" s="163" t="s">
        <v>201</v>
      </c>
      <c r="L43" s="164" t="s">
        <v>289</v>
      </c>
      <c r="M43" s="147" t="s">
        <v>338</v>
      </c>
      <c r="N43" s="145"/>
      <c r="P43" s="145"/>
    </row>
    <row r="44" spans="1:16">
      <c r="A44" s="363"/>
      <c r="B44" s="363"/>
      <c r="C44" s="363"/>
      <c r="D44" s="363"/>
      <c r="E44" s="79"/>
      <c r="F44" s="79"/>
      <c r="G44" s="79"/>
      <c r="H44" s="80"/>
      <c r="I44" s="79" t="s">
        <v>251</v>
      </c>
      <c r="J44" s="145"/>
      <c r="K44" s="161">
        <v>2018</v>
      </c>
      <c r="L44" s="500">
        <v>1.5E-3</v>
      </c>
      <c r="M44" s="339">
        <f>'Exhibit 6.4'!P33</f>
        <v>2.5000000000000001E-2</v>
      </c>
      <c r="N44" s="145"/>
      <c r="P44" s="145"/>
    </row>
    <row r="45" spans="1:16">
      <c r="A45" s="363">
        <v>2019</v>
      </c>
      <c r="B45" s="158"/>
      <c r="C45" s="158"/>
      <c r="D45" s="158"/>
      <c r="E45" s="79"/>
      <c r="F45" s="79"/>
      <c r="G45" s="79"/>
      <c r="H45" s="80"/>
      <c r="I45" s="46">
        <f ca="1">AVERAGE(I41*(1+L44)*(1+M44)*(1+L45)*(1+M45),I42*(1+L45)*(1+M45))</f>
        <v>0.32457384273796197</v>
      </c>
      <c r="J45" s="145"/>
      <c r="K45" s="161">
        <f>K44+1</f>
        <v>2019</v>
      </c>
      <c r="L45" s="227">
        <f>ROUND('Exhibit 6.1'!B65,3)</f>
        <v>-1.9E-2</v>
      </c>
      <c r="M45" s="148">
        <f>M44</f>
        <v>2.5000000000000001E-2</v>
      </c>
      <c r="N45" s="145"/>
      <c r="P45" s="145"/>
    </row>
    <row r="46" spans="1:16">
      <c r="A46" s="242">
        <v>2020</v>
      </c>
      <c r="B46" s="158"/>
      <c r="C46" s="158"/>
      <c r="D46" s="158"/>
      <c r="E46" s="79"/>
      <c r="F46" s="79"/>
      <c r="G46" s="79"/>
      <c r="H46" s="80"/>
      <c r="I46" s="46">
        <f ca="1">I45*(1+L46)*(1+M46)</f>
        <v>0.32603442503028274</v>
      </c>
      <c r="J46" s="145"/>
      <c r="K46" s="161">
        <f t="shared" ref="K46:K47" si="1">K45+1</f>
        <v>2020</v>
      </c>
      <c r="L46" s="227">
        <f>ROUND('Exhibit 6.1'!B66,3)</f>
        <v>-0.02</v>
      </c>
      <c r="M46" s="148">
        <f t="shared" ref="M46:M47" si="2">M45</f>
        <v>2.5000000000000001E-2</v>
      </c>
      <c r="N46" s="145"/>
      <c r="P46" s="145"/>
    </row>
    <row r="47" spans="1:16">
      <c r="A47" s="246" t="s">
        <v>434</v>
      </c>
      <c r="B47" s="158"/>
      <c r="C47" s="158"/>
      <c r="D47" s="158"/>
      <c r="E47" s="79"/>
      <c r="F47" s="79"/>
      <c r="G47" s="79"/>
      <c r="H47" s="80"/>
      <c r="I47" s="46">
        <f ca="1">I46*((1+L47)^0.5)*((1+M47)^0.5)</f>
        <v>0.32643357287245112</v>
      </c>
      <c r="K47" s="162">
        <f t="shared" si="1"/>
        <v>2021</v>
      </c>
      <c r="L47" s="501">
        <f>ROUND('Exhibit 6.1'!B67,3)</f>
        <v>-2.1999999999999999E-2</v>
      </c>
      <c r="M47" s="149">
        <f t="shared" si="2"/>
        <v>2.5000000000000001E-2</v>
      </c>
    </row>
    <row r="48" spans="1:16">
      <c r="A48" s="242"/>
      <c r="B48" s="242"/>
      <c r="C48" s="242"/>
      <c r="D48" s="242"/>
      <c r="E48" s="79"/>
      <c r="F48" s="79"/>
      <c r="G48" s="79"/>
      <c r="H48" s="80"/>
      <c r="I48" s="80"/>
    </row>
    <row r="49" spans="1:9" ht="27.75" customHeight="1">
      <c r="A49" s="45" t="s">
        <v>22</v>
      </c>
      <c r="B49" s="533" t="s">
        <v>260</v>
      </c>
      <c r="C49" s="533"/>
      <c r="D49" s="533"/>
      <c r="E49" s="533"/>
      <c r="F49" s="533"/>
      <c r="G49" s="533"/>
      <c r="H49" s="533"/>
      <c r="I49" s="533"/>
    </row>
    <row r="50" spans="1:9">
      <c r="A50" s="45" t="s">
        <v>28</v>
      </c>
      <c r="B50" s="533" t="s">
        <v>261</v>
      </c>
      <c r="C50" s="533"/>
      <c r="D50" s="533"/>
      <c r="E50" s="533"/>
      <c r="F50" s="533"/>
      <c r="G50" s="533"/>
      <c r="H50" s="533"/>
      <c r="I50" s="533"/>
    </row>
    <row r="51" spans="1:9">
      <c r="A51" s="45" t="s">
        <v>40</v>
      </c>
      <c r="B51" s="533" t="s">
        <v>254</v>
      </c>
      <c r="C51" s="533"/>
      <c r="D51" s="533"/>
      <c r="E51" s="533"/>
      <c r="F51" s="533"/>
      <c r="G51" s="533"/>
      <c r="H51" s="533"/>
      <c r="I51" s="533"/>
    </row>
    <row r="52" spans="1:9" ht="53.25" customHeight="1">
      <c r="A52" s="45" t="s">
        <v>66</v>
      </c>
      <c r="B52" s="533" t="s">
        <v>432</v>
      </c>
      <c r="C52" s="533"/>
      <c r="D52" s="533"/>
      <c r="E52" s="533"/>
      <c r="F52" s="533"/>
      <c r="G52" s="533"/>
      <c r="H52" s="533"/>
      <c r="I52" s="533"/>
    </row>
    <row r="53" spans="1:9" ht="27" customHeight="1">
      <c r="A53" s="45" t="s">
        <v>43</v>
      </c>
      <c r="B53" s="533" t="s">
        <v>335</v>
      </c>
      <c r="C53" s="533"/>
      <c r="D53" s="533"/>
      <c r="E53" s="533"/>
      <c r="F53" s="533"/>
      <c r="G53" s="533"/>
      <c r="H53" s="533"/>
      <c r="I53" s="533"/>
    </row>
  </sheetData>
  <mergeCells count="9">
    <mergeCell ref="B53:I53"/>
    <mergeCell ref="B50:I50"/>
    <mergeCell ref="B51:I51"/>
    <mergeCell ref="B52:I52"/>
    <mergeCell ref="K42:M42"/>
    <mergeCell ref="A1:I1"/>
    <mergeCell ref="A2:I2"/>
    <mergeCell ref="A3:I3"/>
    <mergeCell ref="B49:I49"/>
  </mergeCells>
  <printOptions horizontalCentered="1"/>
  <pageMargins left="0.7" right="0.7" top="0.75" bottom="0.75" header="0.3" footer="0.3"/>
  <pageSetup scale="72"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Z74"/>
  <sheetViews>
    <sheetView workbookViewId="0">
      <selection sqref="A1:R1"/>
    </sheetView>
  </sheetViews>
  <sheetFormatPr defaultColWidth="9.140625" defaultRowHeight="12.75"/>
  <cols>
    <col min="1" max="1" width="13.140625" style="136" customWidth="1"/>
    <col min="2" max="17" width="8.28515625" style="136" customWidth="1"/>
    <col min="18" max="18" width="8.42578125" style="136" customWidth="1"/>
    <col min="19" max="19" width="14.5703125" style="139" customWidth="1"/>
    <col min="20" max="20" width="9.140625" style="261"/>
    <col min="21" max="21" width="3.28515625" style="136" bestFit="1" customWidth="1"/>
    <col min="22" max="22" width="10.28515625" style="136" bestFit="1" customWidth="1"/>
    <col min="23" max="23" width="5.85546875" style="136" customWidth="1"/>
    <col min="24" max="24" width="9.140625" style="136"/>
    <col min="25" max="26" width="11.42578125" style="136" bestFit="1" customWidth="1"/>
    <col min="27" max="16384" width="9.140625" style="136"/>
  </cols>
  <sheetData>
    <row r="1" spans="1:26" ht="15" customHeight="1">
      <c r="A1" s="512" t="s">
        <v>23</v>
      </c>
      <c r="B1" s="512"/>
      <c r="C1" s="512"/>
      <c r="D1" s="512"/>
      <c r="E1" s="512"/>
      <c r="F1" s="512"/>
      <c r="G1" s="512"/>
      <c r="H1" s="512"/>
      <c r="I1" s="512"/>
      <c r="J1" s="512"/>
      <c r="K1" s="512"/>
      <c r="L1" s="512"/>
      <c r="M1" s="512"/>
      <c r="N1" s="512"/>
      <c r="O1" s="512"/>
      <c r="P1" s="512"/>
      <c r="Q1" s="512"/>
      <c r="R1" s="512"/>
      <c r="S1" s="282"/>
    </row>
    <row r="2" spans="1:26" ht="15">
      <c r="A2" s="151"/>
      <c r="B2" s="151"/>
      <c r="C2" s="151"/>
      <c r="D2" s="151"/>
      <c r="E2" s="151"/>
      <c r="F2" s="151"/>
      <c r="G2" s="151"/>
      <c r="H2" s="151"/>
      <c r="I2" s="151"/>
      <c r="J2" s="151"/>
      <c r="K2" s="151"/>
      <c r="L2" s="151"/>
      <c r="M2" s="151"/>
      <c r="N2" s="151"/>
      <c r="O2" s="151"/>
      <c r="P2" s="151"/>
      <c r="Q2" s="240"/>
      <c r="R2" s="189"/>
      <c r="V2" s="517" t="s">
        <v>521</v>
      </c>
      <c r="W2" s="518"/>
      <c r="X2" s="518"/>
      <c r="Y2" s="518"/>
      <c r="Z2" s="518"/>
    </row>
    <row r="3" spans="1:26" ht="15">
      <c r="A3" s="154"/>
      <c r="B3" s="516" t="s">
        <v>18</v>
      </c>
      <c r="C3" s="516"/>
      <c r="D3" s="516"/>
      <c r="E3" s="516"/>
      <c r="F3" s="516"/>
      <c r="G3" s="516"/>
      <c r="H3" s="516"/>
      <c r="I3" s="516"/>
      <c r="J3" s="516"/>
      <c r="K3" s="516"/>
      <c r="L3" s="516"/>
      <c r="M3" s="516"/>
      <c r="N3" s="516"/>
      <c r="O3" s="516"/>
      <c r="P3" s="516"/>
      <c r="Q3" s="516"/>
      <c r="R3" s="516"/>
      <c r="S3" s="340"/>
      <c r="V3" s="165" t="s">
        <v>371</v>
      </c>
      <c r="W3" s="203" t="s">
        <v>522</v>
      </c>
      <c r="X3" s="203" t="s">
        <v>523</v>
      </c>
      <c r="Y3" s="203" t="s">
        <v>524</v>
      </c>
      <c r="Z3" s="203" t="s">
        <v>525</v>
      </c>
    </row>
    <row r="4" spans="1:26">
      <c r="A4" s="11" t="s">
        <v>19</v>
      </c>
      <c r="B4" s="407" t="s">
        <v>451</v>
      </c>
      <c r="C4" s="407" t="s">
        <v>452</v>
      </c>
      <c r="D4" s="407" t="s">
        <v>453</v>
      </c>
      <c r="E4" s="407" t="s">
        <v>454</v>
      </c>
      <c r="F4" s="407" t="s">
        <v>455</v>
      </c>
      <c r="G4" s="407" t="s">
        <v>456</v>
      </c>
      <c r="H4" s="407" t="s">
        <v>457</v>
      </c>
      <c r="I4" s="407" t="s">
        <v>458</v>
      </c>
      <c r="J4" s="407" t="s">
        <v>459</v>
      </c>
      <c r="K4" s="407" t="s">
        <v>460</v>
      </c>
      <c r="L4" s="407" t="s">
        <v>461</v>
      </c>
      <c r="M4" s="407" t="s">
        <v>462</v>
      </c>
      <c r="N4" s="407" t="s">
        <v>463</v>
      </c>
      <c r="O4" s="407" t="s">
        <v>464</v>
      </c>
      <c r="P4" s="407" t="s">
        <v>465</v>
      </c>
      <c r="Q4" s="407" t="s">
        <v>466</v>
      </c>
      <c r="R4" s="407" t="s">
        <v>467</v>
      </c>
      <c r="S4" s="407" t="s">
        <v>468</v>
      </c>
      <c r="U4" s="519" t="s">
        <v>526</v>
      </c>
      <c r="V4" s="68" t="s">
        <v>443</v>
      </c>
      <c r="W4" s="385">
        <v>10</v>
      </c>
      <c r="X4" s="167">
        <f>HLOOKUP(V4,'Exhibit 2.1.1'!$J$37:$Q$38,2,0)</f>
        <v>1.0103333333333333</v>
      </c>
      <c r="Y4" s="201">
        <f>LN(W4)</f>
        <v>2.3025850929940459</v>
      </c>
      <c r="Z4" s="201">
        <f>LN(X4-1)</f>
        <v>-4.5723803631651032</v>
      </c>
    </row>
    <row r="5" spans="1:26">
      <c r="A5" s="12">
        <v>1982</v>
      </c>
      <c r="B5" s="413"/>
      <c r="C5" s="413"/>
      <c r="D5" s="413"/>
      <c r="E5" s="413"/>
      <c r="F5" s="414">
        <v>1</v>
      </c>
      <c r="G5" s="414">
        <v>1.0009999999999999</v>
      </c>
      <c r="H5" s="414">
        <v>1</v>
      </c>
      <c r="I5" s="414">
        <v>1.0009999999999999</v>
      </c>
      <c r="J5" s="414">
        <v>1.0009999999999999</v>
      </c>
      <c r="K5" s="414">
        <v>1.0009999999999999</v>
      </c>
      <c r="L5" s="414">
        <v>1</v>
      </c>
      <c r="M5" s="414">
        <v>1.002</v>
      </c>
      <c r="N5" s="413"/>
      <c r="O5" s="413"/>
      <c r="P5" s="413"/>
      <c r="Q5" s="413"/>
      <c r="R5" s="413"/>
      <c r="S5" s="413"/>
      <c r="U5" s="520"/>
      <c r="V5" s="385" t="str">
        <f>LEFT(V4,3)+12&amp;"/"&amp;LEFT(V4,3)</f>
        <v>135/123</v>
      </c>
      <c r="W5" s="385">
        <f>+W4+1</f>
        <v>11</v>
      </c>
      <c r="X5" s="167">
        <f>HLOOKUP(V5,'Exhibit 2.1.1'!$J$37:$Q$38,2,0)</f>
        <v>1.0061666666666667</v>
      </c>
      <c r="Y5" s="201">
        <f t="shared" ref="Y5:Y68" si="0">LN(W5)</f>
        <v>2.3978952727983707</v>
      </c>
      <c r="Z5" s="201">
        <f t="shared" ref="Z5:Z23" si="1">LN(X5-1)</f>
        <v>-5.0885968355659701</v>
      </c>
    </row>
    <row r="6" spans="1:26">
      <c r="A6" s="12">
        <v>1983</v>
      </c>
      <c r="B6" s="408" t="s">
        <v>36</v>
      </c>
      <c r="C6" s="408" t="s">
        <v>36</v>
      </c>
      <c r="D6" s="408" t="s">
        <v>36</v>
      </c>
      <c r="E6" s="408">
        <v>1.0009999999999999</v>
      </c>
      <c r="F6" s="408">
        <v>1.002</v>
      </c>
      <c r="G6" s="408">
        <v>1.002</v>
      </c>
      <c r="H6" s="408">
        <v>1</v>
      </c>
      <c r="I6" s="408">
        <v>1.0009999999999999</v>
      </c>
      <c r="J6" s="408">
        <v>1</v>
      </c>
      <c r="K6" s="408">
        <v>1</v>
      </c>
      <c r="L6" s="408">
        <v>1.0009999999999999</v>
      </c>
      <c r="M6" s="408">
        <v>1.0009999999999999</v>
      </c>
      <c r="N6" s="408">
        <v>1.0009999999999999</v>
      </c>
      <c r="O6" s="408">
        <v>1.0009999999999999</v>
      </c>
      <c r="P6" s="408">
        <v>1</v>
      </c>
      <c r="Q6" s="408">
        <v>1.0009999999999999</v>
      </c>
      <c r="R6" s="408">
        <v>1.0009999999999999</v>
      </c>
      <c r="S6" s="411"/>
      <c r="T6" s="263"/>
      <c r="U6" s="520"/>
      <c r="V6" s="385" t="str">
        <f t="shared" ref="V6:V69" si="2">LEFT(V5,3)+12&amp;"/"&amp;LEFT(V5,3)</f>
        <v>147/135</v>
      </c>
      <c r="W6" s="385">
        <f t="shared" ref="W6:W69" si="3">+W5+1</f>
        <v>12</v>
      </c>
      <c r="X6" s="167">
        <f>HLOOKUP(V6,'Exhibit 2.1.1'!$J$37:$Q$38,2,0)</f>
        <v>1.0050000000000001</v>
      </c>
      <c r="Y6" s="201">
        <f t="shared" si="0"/>
        <v>2.4849066497880004</v>
      </c>
      <c r="Z6" s="201">
        <f t="shared" si="1"/>
        <v>-5.2983173665480132</v>
      </c>
    </row>
    <row r="7" spans="1:26">
      <c r="A7" s="12">
        <v>1984</v>
      </c>
      <c r="B7" s="408" t="s">
        <v>36</v>
      </c>
      <c r="C7" s="408" t="s">
        <v>36</v>
      </c>
      <c r="D7" s="408">
        <v>1.0009999999999999</v>
      </c>
      <c r="E7" s="408">
        <v>1.0009999999999999</v>
      </c>
      <c r="F7" s="408">
        <v>1</v>
      </c>
      <c r="G7" s="408">
        <v>1.0009999999999999</v>
      </c>
      <c r="H7" s="408">
        <v>1</v>
      </c>
      <c r="I7" s="408">
        <v>1</v>
      </c>
      <c r="J7" s="408">
        <v>1.0009999999999999</v>
      </c>
      <c r="K7" s="408">
        <v>1.0009999999999999</v>
      </c>
      <c r="L7" s="408">
        <v>1</v>
      </c>
      <c r="M7" s="408">
        <v>1.0009999999999999</v>
      </c>
      <c r="N7" s="408">
        <v>1.0009999999999999</v>
      </c>
      <c r="O7" s="408">
        <v>0.999</v>
      </c>
      <c r="P7" s="408">
        <v>1</v>
      </c>
      <c r="Q7" s="408">
        <v>1</v>
      </c>
      <c r="R7" s="408">
        <v>1.0009999999999999</v>
      </c>
      <c r="S7" s="411"/>
      <c r="U7" s="520"/>
      <c r="V7" s="385" t="str">
        <f t="shared" si="2"/>
        <v>159/147</v>
      </c>
      <c r="W7" s="385">
        <f t="shared" si="3"/>
        <v>13</v>
      </c>
      <c r="X7" s="167">
        <f>HLOOKUP(V7,'Exhibit 2.1.1'!$J$37:$Q$38,2,0)</f>
        <v>1.0033333333333332</v>
      </c>
      <c r="Y7" s="201">
        <f t="shared" si="0"/>
        <v>2.5649493574615367</v>
      </c>
      <c r="Z7" s="201">
        <f t="shared" si="1"/>
        <v>-5.7037824746562444</v>
      </c>
    </row>
    <row r="8" spans="1:26">
      <c r="A8" s="12">
        <v>1985</v>
      </c>
      <c r="B8" s="408" t="s">
        <v>36</v>
      </c>
      <c r="C8" s="408">
        <v>1.0009999999999999</v>
      </c>
      <c r="D8" s="408">
        <v>1.0009999999999999</v>
      </c>
      <c r="E8" s="408">
        <v>1</v>
      </c>
      <c r="F8" s="408">
        <v>1.0009999999999999</v>
      </c>
      <c r="G8" s="408">
        <v>1</v>
      </c>
      <c r="H8" s="408">
        <v>1</v>
      </c>
      <c r="I8" s="408">
        <v>1</v>
      </c>
      <c r="J8" s="408">
        <v>1.0009999999999999</v>
      </c>
      <c r="K8" s="408">
        <v>1.0009999999999999</v>
      </c>
      <c r="L8" s="408">
        <v>1.0009999999999999</v>
      </c>
      <c r="M8" s="408">
        <v>1.0009999999999999</v>
      </c>
      <c r="N8" s="408">
        <v>1</v>
      </c>
      <c r="O8" s="408">
        <v>1</v>
      </c>
      <c r="P8" s="408">
        <v>1</v>
      </c>
      <c r="Q8" s="408">
        <v>1</v>
      </c>
      <c r="R8" s="408">
        <v>1</v>
      </c>
      <c r="S8" s="411"/>
      <c r="U8" s="520"/>
      <c r="V8" s="385" t="str">
        <f t="shared" si="2"/>
        <v>171/159</v>
      </c>
      <c r="W8" s="385">
        <f t="shared" si="3"/>
        <v>14</v>
      </c>
      <c r="X8" s="167">
        <f>HLOOKUP(V8,'Exhibit 2.1.1'!$J$37:$Q$38,2,0)</f>
        <v>1.0026666666666666</v>
      </c>
      <c r="Y8" s="201">
        <f t="shared" si="0"/>
        <v>2.6390573296152584</v>
      </c>
      <c r="Z8" s="201">
        <f t="shared" si="1"/>
        <v>-5.9269260259704373</v>
      </c>
    </row>
    <row r="9" spans="1:26">
      <c r="A9" s="12">
        <v>1986</v>
      </c>
      <c r="B9" s="408">
        <v>1.0009999999999999</v>
      </c>
      <c r="C9" s="408">
        <v>1</v>
      </c>
      <c r="D9" s="408">
        <v>1.0009999999999999</v>
      </c>
      <c r="E9" s="408">
        <v>0.999</v>
      </c>
      <c r="F9" s="408">
        <v>1</v>
      </c>
      <c r="G9" s="408">
        <v>1</v>
      </c>
      <c r="H9" s="408">
        <v>1.0009999999999999</v>
      </c>
      <c r="I9" s="408">
        <v>1</v>
      </c>
      <c r="J9" s="408">
        <v>1.002</v>
      </c>
      <c r="K9" s="408">
        <v>1.002</v>
      </c>
      <c r="L9" s="408">
        <v>1.0009999999999999</v>
      </c>
      <c r="M9" s="408">
        <v>1</v>
      </c>
      <c r="N9" s="408">
        <v>1</v>
      </c>
      <c r="O9" s="408">
        <v>1</v>
      </c>
      <c r="P9" s="408">
        <v>1</v>
      </c>
      <c r="Q9" s="408">
        <v>1</v>
      </c>
      <c r="R9" s="408" t="s">
        <v>36</v>
      </c>
      <c r="S9" s="411"/>
      <c r="U9" s="520"/>
      <c r="V9" s="385" t="str">
        <f t="shared" si="2"/>
        <v>183/171</v>
      </c>
      <c r="W9" s="385">
        <f t="shared" si="3"/>
        <v>15</v>
      </c>
      <c r="X9" s="167">
        <f>HLOOKUP(V9,'Exhibit 2.1.1'!$J$37:$Q$38,2,0)</f>
        <v>1.0011666666666665</v>
      </c>
      <c r="Y9" s="201">
        <f t="shared" si="0"/>
        <v>2.7080502011022101</v>
      </c>
      <c r="Z9" s="201">
        <f t="shared" si="1"/>
        <v>-6.7536045991549889</v>
      </c>
    </row>
    <row r="10" spans="1:26">
      <c r="A10" s="12">
        <v>1987</v>
      </c>
      <c r="B10" s="408">
        <v>1.002</v>
      </c>
      <c r="C10" s="408">
        <v>1.002</v>
      </c>
      <c r="D10" s="408">
        <v>1</v>
      </c>
      <c r="E10" s="408">
        <v>0.999</v>
      </c>
      <c r="F10" s="408">
        <v>1</v>
      </c>
      <c r="G10" s="408">
        <v>1</v>
      </c>
      <c r="H10" s="408">
        <v>1</v>
      </c>
      <c r="I10" s="408">
        <v>1.002</v>
      </c>
      <c r="J10" s="408">
        <v>1.0009999999999999</v>
      </c>
      <c r="K10" s="408">
        <v>1</v>
      </c>
      <c r="L10" s="408">
        <v>1</v>
      </c>
      <c r="M10" s="408">
        <v>1.0009999999999999</v>
      </c>
      <c r="N10" s="408">
        <v>1</v>
      </c>
      <c r="O10" s="408">
        <v>1.0009999999999999</v>
      </c>
      <c r="P10" s="408">
        <v>1</v>
      </c>
      <c r="Q10" s="408" t="s">
        <v>36</v>
      </c>
      <c r="R10" s="408" t="s">
        <v>36</v>
      </c>
      <c r="S10" s="411"/>
      <c r="U10" s="520"/>
      <c r="V10" s="385" t="str">
        <f t="shared" si="2"/>
        <v>195/183</v>
      </c>
      <c r="W10" s="385">
        <f t="shared" si="3"/>
        <v>16</v>
      </c>
      <c r="X10" s="167">
        <f>HLOOKUP(V10,'Exhibit 2.1.1'!$J$37:$Q$38,2,0)</f>
        <v>1.002</v>
      </c>
      <c r="Y10" s="201">
        <f t="shared" si="0"/>
        <v>2.7725887222397811</v>
      </c>
      <c r="Z10" s="201">
        <f t="shared" si="1"/>
        <v>-6.2146080984221905</v>
      </c>
    </row>
    <row r="11" spans="1:26">
      <c r="A11" s="12">
        <v>1988</v>
      </c>
      <c r="B11" s="408">
        <v>1.0009999999999999</v>
      </c>
      <c r="C11" s="408">
        <v>1.0009999999999999</v>
      </c>
      <c r="D11" s="408">
        <v>1</v>
      </c>
      <c r="E11" s="408">
        <v>1.0009999999999999</v>
      </c>
      <c r="F11" s="408">
        <v>1</v>
      </c>
      <c r="G11" s="408">
        <v>1.002</v>
      </c>
      <c r="H11" s="408">
        <v>1.002</v>
      </c>
      <c r="I11" s="408">
        <v>1.0009999999999999</v>
      </c>
      <c r="J11" s="408">
        <v>1</v>
      </c>
      <c r="K11" s="408">
        <v>1</v>
      </c>
      <c r="L11" s="408">
        <v>1</v>
      </c>
      <c r="M11" s="408">
        <v>1.0009999999999999</v>
      </c>
      <c r="N11" s="408">
        <v>1</v>
      </c>
      <c r="O11" s="408">
        <v>1</v>
      </c>
      <c r="P11" s="408" t="s">
        <v>36</v>
      </c>
      <c r="Q11" s="408" t="s">
        <v>36</v>
      </c>
      <c r="R11" s="408" t="s">
        <v>36</v>
      </c>
      <c r="S11" s="411"/>
      <c r="U11" s="521"/>
      <c r="V11" s="385" t="str">
        <f t="shared" si="2"/>
        <v>207/195</v>
      </c>
      <c r="W11" s="385">
        <f t="shared" si="3"/>
        <v>17</v>
      </c>
      <c r="X11" s="167">
        <f>HLOOKUP(V11,'Exhibit 2.1.1'!$J$37:$Q$38,2,0)</f>
        <v>1.0008333333333332</v>
      </c>
      <c r="Y11" s="201">
        <f t="shared" si="0"/>
        <v>2.8332133440562162</v>
      </c>
      <c r="Z11" s="201">
        <f t="shared" si="1"/>
        <v>-7.0900768357762018</v>
      </c>
    </row>
    <row r="12" spans="1:26">
      <c r="A12" s="12">
        <v>1989</v>
      </c>
      <c r="B12" s="408">
        <v>1.0009999999999999</v>
      </c>
      <c r="C12" s="408">
        <v>1</v>
      </c>
      <c r="D12" s="408">
        <v>1</v>
      </c>
      <c r="E12" s="408">
        <v>1.0009999999999999</v>
      </c>
      <c r="F12" s="408">
        <v>1.0009999999999999</v>
      </c>
      <c r="G12" s="408">
        <v>1.0009999999999999</v>
      </c>
      <c r="H12" s="408">
        <v>1</v>
      </c>
      <c r="I12" s="408">
        <v>1</v>
      </c>
      <c r="J12" s="408">
        <v>1</v>
      </c>
      <c r="K12" s="408">
        <v>1.0009999999999999</v>
      </c>
      <c r="L12" s="408">
        <v>1.0009999999999999</v>
      </c>
      <c r="M12" s="408">
        <v>1</v>
      </c>
      <c r="N12" s="408">
        <v>1.0009999999999999</v>
      </c>
      <c r="O12" s="408" t="s">
        <v>36</v>
      </c>
      <c r="P12" s="408" t="s">
        <v>36</v>
      </c>
      <c r="Q12" s="408" t="s">
        <v>36</v>
      </c>
      <c r="R12" s="408" t="s">
        <v>36</v>
      </c>
      <c r="S12" s="412"/>
      <c r="U12" s="519" t="s">
        <v>527</v>
      </c>
      <c r="V12" s="385" t="str">
        <f t="shared" si="2"/>
        <v>219/207</v>
      </c>
      <c r="W12" s="385">
        <f t="shared" si="3"/>
        <v>18</v>
      </c>
      <c r="X12" s="167">
        <f t="shared" ref="X12:X23" si="4">HLOOKUP(V12,$B$32:$M$33,2,0)</f>
        <v>1.0011666666666665</v>
      </c>
      <c r="Y12" s="201">
        <f t="shared" si="0"/>
        <v>2.8903717578961645</v>
      </c>
      <c r="Z12" s="201">
        <f t="shared" si="1"/>
        <v>-6.7536045991549889</v>
      </c>
    </row>
    <row r="13" spans="1:26" ht="12.75" customHeight="1">
      <c r="A13" s="12">
        <v>1990</v>
      </c>
      <c r="B13" s="408">
        <v>1</v>
      </c>
      <c r="C13" s="408">
        <v>1.0009999999999999</v>
      </c>
      <c r="D13" s="408">
        <v>1</v>
      </c>
      <c r="E13" s="408">
        <v>1</v>
      </c>
      <c r="F13" s="408">
        <v>1.0009999999999999</v>
      </c>
      <c r="G13" s="408">
        <v>1</v>
      </c>
      <c r="H13" s="408">
        <v>1</v>
      </c>
      <c r="I13" s="408">
        <v>1</v>
      </c>
      <c r="J13" s="408">
        <v>1</v>
      </c>
      <c r="K13" s="408">
        <v>1</v>
      </c>
      <c r="L13" s="408">
        <v>1.0009999999999999</v>
      </c>
      <c r="M13" s="408">
        <v>1</v>
      </c>
      <c r="N13" s="408" t="s">
        <v>36</v>
      </c>
      <c r="O13" s="408" t="s">
        <v>36</v>
      </c>
      <c r="P13" s="408" t="s">
        <v>36</v>
      </c>
      <c r="Q13" s="408" t="s">
        <v>36</v>
      </c>
      <c r="R13" s="408" t="s">
        <v>36</v>
      </c>
      <c r="S13" s="412"/>
      <c r="U13" s="522"/>
      <c r="V13" s="385" t="str">
        <f t="shared" si="2"/>
        <v>231/219</v>
      </c>
      <c r="W13" s="385">
        <f t="shared" si="3"/>
        <v>19</v>
      </c>
      <c r="X13" s="167">
        <f t="shared" si="4"/>
        <v>1.0006666666666666</v>
      </c>
      <c r="Y13" s="201">
        <f t="shared" si="0"/>
        <v>2.9444389791664403</v>
      </c>
      <c r="Z13" s="201">
        <f t="shared" si="1"/>
        <v>-7.3132203870904116</v>
      </c>
    </row>
    <row r="14" spans="1:26" ht="12.75" customHeight="1">
      <c r="A14" s="12">
        <v>1991</v>
      </c>
      <c r="B14" s="408">
        <v>1.0009999999999999</v>
      </c>
      <c r="C14" s="408">
        <v>1.0009999999999999</v>
      </c>
      <c r="D14" s="408">
        <v>1</v>
      </c>
      <c r="E14" s="408">
        <v>1</v>
      </c>
      <c r="F14" s="408">
        <v>1</v>
      </c>
      <c r="G14" s="408">
        <v>1.0009999999999999</v>
      </c>
      <c r="H14" s="408">
        <v>1</v>
      </c>
      <c r="I14" s="408">
        <v>1</v>
      </c>
      <c r="J14" s="408">
        <v>1</v>
      </c>
      <c r="K14" s="408">
        <v>1</v>
      </c>
      <c r="L14" s="408">
        <v>1</v>
      </c>
      <c r="M14" s="408" t="s">
        <v>36</v>
      </c>
      <c r="N14" s="408" t="s">
        <v>36</v>
      </c>
      <c r="O14" s="408" t="s">
        <v>36</v>
      </c>
      <c r="P14" s="408" t="s">
        <v>36</v>
      </c>
      <c r="Q14" s="408" t="s">
        <v>36</v>
      </c>
      <c r="R14" s="408" t="s">
        <v>36</v>
      </c>
      <c r="S14" s="412"/>
      <c r="U14" s="522"/>
      <c r="V14" s="385" t="str">
        <f t="shared" si="2"/>
        <v>243/231</v>
      </c>
      <c r="W14" s="385">
        <f t="shared" si="3"/>
        <v>20</v>
      </c>
      <c r="X14" s="167">
        <f t="shared" si="4"/>
        <v>1.0003333333333333</v>
      </c>
      <c r="Y14" s="201">
        <f t="shared" si="0"/>
        <v>2.9957322735539909</v>
      </c>
      <c r="Z14" s="201">
        <f t="shared" si="1"/>
        <v>-8.0063675676503561</v>
      </c>
    </row>
    <row r="15" spans="1:26" ht="12.75" customHeight="1">
      <c r="A15" s="12">
        <v>1992</v>
      </c>
      <c r="B15" s="408">
        <v>1</v>
      </c>
      <c r="C15" s="408">
        <v>1.0009999999999999</v>
      </c>
      <c r="D15" s="408">
        <v>1.0009999999999999</v>
      </c>
      <c r="E15" s="408">
        <v>1.0009999999999999</v>
      </c>
      <c r="F15" s="408">
        <v>1.0009999999999999</v>
      </c>
      <c r="G15" s="408">
        <v>1</v>
      </c>
      <c r="H15" s="408">
        <v>1</v>
      </c>
      <c r="I15" s="408">
        <v>1</v>
      </c>
      <c r="J15" s="408">
        <v>1</v>
      </c>
      <c r="K15" s="408">
        <v>1</v>
      </c>
      <c r="L15" s="408" t="s">
        <v>36</v>
      </c>
      <c r="M15" s="408" t="s">
        <v>36</v>
      </c>
      <c r="N15" s="408" t="s">
        <v>36</v>
      </c>
      <c r="O15" s="408" t="s">
        <v>36</v>
      </c>
      <c r="P15" s="408" t="s">
        <v>36</v>
      </c>
      <c r="Q15" s="408" t="s">
        <v>36</v>
      </c>
      <c r="R15" s="408" t="s">
        <v>36</v>
      </c>
      <c r="S15" s="412"/>
      <c r="U15" s="522"/>
      <c r="V15" s="385" t="str">
        <f t="shared" si="2"/>
        <v>255/243</v>
      </c>
      <c r="W15" s="385">
        <f t="shared" si="3"/>
        <v>21</v>
      </c>
      <c r="X15" s="167">
        <f t="shared" si="4"/>
        <v>1.0006666666666666</v>
      </c>
      <c r="Y15" s="201">
        <f t="shared" si="0"/>
        <v>3.044522437723423</v>
      </c>
      <c r="Z15" s="201">
        <f t="shared" si="1"/>
        <v>-7.3132203870904116</v>
      </c>
    </row>
    <row r="16" spans="1:26" ht="12.75" customHeight="1">
      <c r="A16" s="12">
        <v>1993</v>
      </c>
      <c r="B16" s="408">
        <v>1</v>
      </c>
      <c r="C16" s="408">
        <v>1.0009999999999999</v>
      </c>
      <c r="D16" s="408">
        <v>1.0009999999999999</v>
      </c>
      <c r="E16" s="408">
        <v>1.0009999999999999</v>
      </c>
      <c r="F16" s="408">
        <v>1.0009999999999999</v>
      </c>
      <c r="G16" s="408">
        <v>1</v>
      </c>
      <c r="H16" s="408">
        <v>1</v>
      </c>
      <c r="I16" s="408">
        <v>1</v>
      </c>
      <c r="J16" s="408">
        <v>1</v>
      </c>
      <c r="K16" s="408" t="s">
        <v>36</v>
      </c>
      <c r="L16" s="408" t="s">
        <v>36</v>
      </c>
      <c r="M16" s="408" t="s">
        <v>36</v>
      </c>
      <c r="N16" s="408" t="s">
        <v>36</v>
      </c>
      <c r="O16" s="408" t="s">
        <v>36</v>
      </c>
      <c r="P16" s="408" t="s">
        <v>36</v>
      </c>
      <c r="Q16" s="408" t="s">
        <v>36</v>
      </c>
      <c r="R16" s="408" t="s">
        <v>36</v>
      </c>
      <c r="S16" s="412"/>
      <c r="U16" s="522"/>
      <c r="V16" s="385" t="str">
        <f t="shared" si="2"/>
        <v>267/255</v>
      </c>
      <c r="W16" s="385">
        <f t="shared" si="3"/>
        <v>22</v>
      </c>
      <c r="X16" s="167">
        <f t="shared" si="4"/>
        <v>1.0008333333333332</v>
      </c>
      <c r="Y16" s="201">
        <f t="shared" si="0"/>
        <v>3.0910424533583161</v>
      </c>
      <c r="Z16" s="201">
        <f t="shared" si="1"/>
        <v>-7.0900768357762018</v>
      </c>
    </row>
    <row r="17" spans="1:26" ht="12.75" customHeight="1">
      <c r="A17" s="12">
        <v>1994</v>
      </c>
      <c r="B17" s="408">
        <v>1.0009999999999999</v>
      </c>
      <c r="C17" s="408">
        <v>1.002</v>
      </c>
      <c r="D17" s="408">
        <v>1.0009999999999999</v>
      </c>
      <c r="E17" s="408">
        <v>1.0009999999999999</v>
      </c>
      <c r="F17" s="408">
        <v>1.0009999999999999</v>
      </c>
      <c r="G17" s="408">
        <v>1.0009999999999999</v>
      </c>
      <c r="H17" s="408">
        <v>1</v>
      </c>
      <c r="I17" s="408">
        <v>1.0009999999999999</v>
      </c>
      <c r="J17" s="408" t="s">
        <v>36</v>
      </c>
      <c r="K17" s="408" t="s">
        <v>36</v>
      </c>
      <c r="L17" s="408" t="s">
        <v>36</v>
      </c>
      <c r="M17" s="408" t="s">
        <v>36</v>
      </c>
      <c r="N17" s="408" t="s">
        <v>36</v>
      </c>
      <c r="O17" s="408" t="s">
        <v>36</v>
      </c>
      <c r="P17" s="408" t="s">
        <v>36</v>
      </c>
      <c r="Q17" s="408" t="s">
        <v>36</v>
      </c>
      <c r="R17" s="408" t="s">
        <v>36</v>
      </c>
      <c r="S17" s="412"/>
      <c r="U17" s="522"/>
      <c r="V17" s="385" t="str">
        <f t="shared" si="2"/>
        <v>279/267</v>
      </c>
      <c r="W17" s="385">
        <f t="shared" si="3"/>
        <v>23</v>
      </c>
      <c r="X17" s="167">
        <f t="shared" si="4"/>
        <v>1.0006666666666666</v>
      </c>
      <c r="Y17" s="201">
        <f t="shared" si="0"/>
        <v>3.1354942159291497</v>
      </c>
      <c r="Z17" s="201">
        <f t="shared" si="1"/>
        <v>-7.3132203870904116</v>
      </c>
    </row>
    <row r="18" spans="1:26" ht="12.75" customHeight="1">
      <c r="A18" s="12">
        <v>1995</v>
      </c>
      <c r="B18" s="408">
        <v>1.002</v>
      </c>
      <c r="C18" s="408">
        <v>0.999</v>
      </c>
      <c r="D18" s="408">
        <v>0.999</v>
      </c>
      <c r="E18" s="408">
        <v>1.0009999999999999</v>
      </c>
      <c r="F18" s="408">
        <v>1</v>
      </c>
      <c r="G18" s="408">
        <v>1.0009999999999999</v>
      </c>
      <c r="H18" s="408">
        <v>0.999</v>
      </c>
      <c r="I18" s="408" t="s">
        <v>36</v>
      </c>
      <c r="J18" s="408" t="s">
        <v>36</v>
      </c>
      <c r="K18" s="408" t="s">
        <v>36</v>
      </c>
      <c r="L18" s="408" t="s">
        <v>36</v>
      </c>
      <c r="M18" s="408" t="s">
        <v>36</v>
      </c>
      <c r="N18" s="408" t="s">
        <v>36</v>
      </c>
      <c r="O18" s="408" t="s">
        <v>36</v>
      </c>
      <c r="P18" s="408" t="s">
        <v>36</v>
      </c>
      <c r="Q18" s="408" t="s">
        <v>36</v>
      </c>
      <c r="R18" s="408" t="s">
        <v>36</v>
      </c>
      <c r="S18" s="412"/>
      <c r="U18" s="522"/>
      <c r="V18" s="385" t="str">
        <f t="shared" si="2"/>
        <v>291/279</v>
      </c>
      <c r="W18" s="385">
        <f t="shared" si="3"/>
        <v>24</v>
      </c>
      <c r="X18" s="167">
        <f t="shared" si="4"/>
        <v>1.0003333333333333</v>
      </c>
      <c r="Y18" s="201">
        <f t="shared" si="0"/>
        <v>3.1780538303479458</v>
      </c>
      <c r="Z18" s="201">
        <f t="shared" si="1"/>
        <v>-8.0063675676503561</v>
      </c>
    </row>
    <row r="19" spans="1:26" ht="12.75" customHeight="1">
      <c r="A19" s="12">
        <v>1996</v>
      </c>
      <c r="B19" s="408">
        <v>1.002</v>
      </c>
      <c r="C19" s="408">
        <v>1.0009999999999999</v>
      </c>
      <c r="D19" s="408">
        <v>1</v>
      </c>
      <c r="E19" s="408">
        <v>1.0009999999999999</v>
      </c>
      <c r="F19" s="408">
        <v>1.0009999999999999</v>
      </c>
      <c r="G19" s="408">
        <v>1</v>
      </c>
      <c r="H19" s="408" t="s">
        <v>36</v>
      </c>
      <c r="I19" s="408" t="s">
        <v>36</v>
      </c>
      <c r="J19" s="408" t="s">
        <v>36</v>
      </c>
      <c r="K19" s="408" t="s">
        <v>36</v>
      </c>
      <c r="L19" s="408" t="s">
        <v>36</v>
      </c>
      <c r="M19" s="408" t="s">
        <v>36</v>
      </c>
      <c r="N19" s="408" t="s">
        <v>36</v>
      </c>
      <c r="O19" s="408" t="s">
        <v>36</v>
      </c>
      <c r="P19" s="408" t="s">
        <v>36</v>
      </c>
      <c r="Q19" s="408" t="s">
        <v>36</v>
      </c>
      <c r="R19" s="408" t="s">
        <v>36</v>
      </c>
      <c r="S19" s="412"/>
      <c r="U19" s="522"/>
      <c r="V19" s="385" t="str">
        <f t="shared" si="2"/>
        <v>303/291</v>
      </c>
      <c r="W19" s="385">
        <f t="shared" si="3"/>
        <v>25</v>
      </c>
      <c r="X19" s="167">
        <f t="shared" si="4"/>
        <v>1.0004999999999999</v>
      </c>
      <c r="Y19" s="201">
        <f t="shared" si="0"/>
        <v>3.2188758248682006</v>
      </c>
      <c r="Z19" s="201">
        <f t="shared" si="1"/>
        <v>-7.6009024595421923</v>
      </c>
    </row>
    <row r="20" spans="1:26" ht="12.75" customHeight="1">
      <c r="A20" s="12">
        <v>1997</v>
      </c>
      <c r="B20" s="408">
        <v>1</v>
      </c>
      <c r="C20" s="408">
        <v>1</v>
      </c>
      <c r="D20" s="408">
        <v>1</v>
      </c>
      <c r="E20" s="408">
        <v>0.999</v>
      </c>
      <c r="F20" s="408">
        <v>1.0009999999999999</v>
      </c>
      <c r="G20" s="408" t="s">
        <v>36</v>
      </c>
      <c r="H20" s="408" t="s">
        <v>36</v>
      </c>
      <c r="I20" s="408" t="s">
        <v>36</v>
      </c>
      <c r="J20" s="408" t="s">
        <v>36</v>
      </c>
      <c r="K20" s="408" t="s">
        <v>36</v>
      </c>
      <c r="L20" s="408" t="s">
        <v>36</v>
      </c>
      <c r="M20" s="408" t="s">
        <v>36</v>
      </c>
      <c r="N20" s="408" t="s">
        <v>36</v>
      </c>
      <c r="O20" s="408" t="s">
        <v>36</v>
      </c>
      <c r="P20" s="408" t="s">
        <v>36</v>
      </c>
      <c r="Q20" s="408" t="s">
        <v>36</v>
      </c>
      <c r="R20" s="408" t="s">
        <v>36</v>
      </c>
      <c r="S20" s="412"/>
      <c r="U20" s="522"/>
      <c r="V20" s="385" t="str">
        <f t="shared" si="2"/>
        <v>315/303</v>
      </c>
      <c r="W20" s="385">
        <f t="shared" si="3"/>
        <v>26</v>
      </c>
      <c r="X20" s="167">
        <f t="shared" si="4"/>
        <v>1.0006666666666666</v>
      </c>
      <c r="Y20" s="201">
        <f t="shared" si="0"/>
        <v>3.2580965380214821</v>
      </c>
      <c r="Z20" s="201">
        <f t="shared" si="1"/>
        <v>-7.3132203870904116</v>
      </c>
    </row>
    <row r="21" spans="1:26" ht="12.75" customHeight="1">
      <c r="A21" s="12">
        <v>1998</v>
      </c>
      <c r="B21" s="408">
        <v>1.002</v>
      </c>
      <c r="C21" s="408">
        <v>1.002</v>
      </c>
      <c r="D21" s="408">
        <v>1.0009999999999999</v>
      </c>
      <c r="E21" s="408">
        <v>1</v>
      </c>
      <c r="F21" s="408" t="s">
        <v>36</v>
      </c>
      <c r="G21" s="408" t="s">
        <v>36</v>
      </c>
      <c r="H21" s="408" t="s">
        <v>36</v>
      </c>
      <c r="I21" s="408" t="s">
        <v>36</v>
      </c>
      <c r="J21" s="408" t="s">
        <v>36</v>
      </c>
      <c r="K21" s="408" t="s">
        <v>36</v>
      </c>
      <c r="L21" s="408" t="s">
        <v>36</v>
      </c>
      <c r="M21" s="408" t="s">
        <v>36</v>
      </c>
      <c r="N21" s="408" t="s">
        <v>36</v>
      </c>
      <c r="O21" s="408" t="s">
        <v>36</v>
      </c>
      <c r="P21" s="408" t="s">
        <v>36</v>
      </c>
      <c r="Q21" s="408" t="s">
        <v>36</v>
      </c>
      <c r="R21" s="408" t="s">
        <v>36</v>
      </c>
      <c r="S21" s="412"/>
      <c r="U21" s="522"/>
      <c r="V21" s="385" t="str">
        <f t="shared" si="2"/>
        <v>327/315</v>
      </c>
      <c r="W21" s="385">
        <f t="shared" si="3"/>
        <v>27</v>
      </c>
      <c r="X21" s="167">
        <f t="shared" si="4"/>
        <v>1.0008333333333332</v>
      </c>
      <c r="Y21" s="201">
        <f t="shared" si="0"/>
        <v>3.2958368660043291</v>
      </c>
      <c r="Z21" s="201">
        <f t="shared" si="1"/>
        <v>-7.0900768357762018</v>
      </c>
    </row>
    <row r="22" spans="1:26" ht="12.75" customHeight="1">
      <c r="A22" s="12">
        <v>1999</v>
      </c>
      <c r="B22" s="408">
        <v>1</v>
      </c>
      <c r="C22" s="408">
        <v>1</v>
      </c>
      <c r="D22" s="408">
        <v>1.002</v>
      </c>
      <c r="E22" s="408" t="s">
        <v>36</v>
      </c>
      <c r="F22" s="408" t="s">
        <v>36</v>
      </c>
      <c r="G22" s="408" t="s">
        <v>36</v>
      </c>
      <c r="H22" s="408" t="s">
        <v>36</v>
      </c>
      <c r="I22" s="408" t="s">
        <v>36</v>
      </c>
      <c r="J22" s="408" t="s">
        <v>36</v>
      </c>
      <c r="K22" s="408" t="s">
        <v>36</v>
      </c>
      <c r="L22" s="408" t="s">
        <v>36</v>
      </c>
      <c r="M22" s="408" t="s">
        <v>36</v>
      </c>
      <c r="N22" s="408" t="s">
        <v>36</v>
      </c>
      <c r="O22" s="408" t="s">
        <v>36</v>
      </c>
      <c r="P22" s="408" t="s">
        <v>36</v>
      </c>
      <c r="Q22" s="408" t="s">
        <v>36</v>
      </c>
      <c r="R22" s="408" t="s">
        <v>36</v>
      </c>
      <c r="S22" s="412"/>
      <c r="U22" s="522"/>
      <c r="V22" s="385" t="str">
        <f t="shared" si="2"/>
        <v>339/327</v>
      </c>
      <c r="W22" s="385">
        <f t="shared" si="3"/>
        <v>28</v>
      </c>
      <c r="X22" s="167">
        <f t="shared" si="4"/>
        <v>1.0004999999999999</v>
      </c>
      <c r="Y22" s="201">
        <f t="shared" si="0"/>
        <v>3.3322045101752038</v>
      </c>
      <c r="Z22" s="201">
        <f t="shared" si="1"/>
        <v>-7.6009024595421923</v>
      </c>
    </row>
    <row r="23" spans="1:26" ht="12.75" customHeight="1">
      <c r="A23" s="12">
        <v>2000</v>
      </c>
      <c r="B23" s="408">
        <v>1.002</v>
      </c>
      <c r="C23" s="408">
        <v>1.0009999999999999</v>
      </c>
      <c r="D23" s="408" t="s">
        <v>36</v>
      </c>
      <c r="E23" s="408" t="s">
        <v>36</v>
      </c>
      <c r="F23" s="408" t="s">
        <v>36</v>
      </c>
      <c r="G23" s="408" t="s">
        <v>36</v>
      </c>
      <c r="H23" s="408" t="s">
        <v>36</v>
      </c>
      <c r="I23" s="408" t="s">
        <v>36</v>
      </c>
      <c r="J23" s="408" t="s">
        <v>36</v>
      </c>
      <c r="K23" s="408" t="s">
        <v>36</v>
      </c>
      <c r="L23" s="408" t="s">
        <v>36</v>
      </c>
      <c r="M23" s="408" t="s">
        <v>36</v>
      </c>
      <c r="N23" s="408" t="s">
        <v>36</v>
      </c>
      <c r="O23" s="408" t="s">
        <v>36</v>
      </c>
      <c r="P23" s="408" t="s">
        <v>36</v>
      </c>
      <c r="Q23" s="408" t="s">
        <v>36</v>
      </c>
      <c r="R23" s="408" t="s">
        <v>36</v>
      </c>
      <c r="S23" s="412"/>
      <c r="U23" s="523"/>
      <c r="V23" s="385" t="str">
        <f t="shared" si="2"/>
        <v>351/339</v>
      </c>
      <c r="W23" s="385">
        <f t="shared" si="3"/>
        <v>29</v>
      </c>
      <c r="X23" s="167">
        <f t="shared" si="4"/>
        <v>1.0010000000000001</v>
      </c>
      <c r="Y23" s="201">
        <f t="shared" si="0"/>
        <v>3.3672958299864741</v>
      </c>
      <c r="Z23" s="201">
        <f t="shared" si="1"/>
        <v>-6.9077552789820249</v>
      </c>
    </row>
    <row r="24" spans="1:26" ht="12.75" customHeight="1">
      <c r="A24" s="12">
        <v>2001</v>
      </c>
      <c r="B24" s="408">
        <v>1.0009999999999999</v>
      </c>
      <c r="C24" s="408" t="s">
        <v>36</v>
      </c>
      <c r="D24" s="408" t="s">
        <v>36</v>
      </c>
      <c r="E24" s="408" t="s">
        <v>36</v>
      </c>
      <c r="F24" s="408" t="s">
        <v>36</v>
      </c>
      <c r="G24" s="408" t="s">
        <v>36</v>
      </c>
      <c r="H24" s="408" t="s">
        <v>36</v>
      </c>
      <c r="I24" s="408" t="s">
        <v>36</v>
      </c>
      <c r="J24" s="408" t="s">
        <v>36</v>
      </c>
      <c r="K24" s="408" t="s">
        <v>36</v>
      </c>
      <c r="L24" s="408" t="s">
        <v>36</v>
      </c>
      <c r="M24" s="408" t="s">
        <v>36</v>
      </c>
      <c r="N24" s="408" t="s">
        <v>36</v>
      </c>
      <c r="O24" s="408" t="s">
        <v>36</v>
      </c>
      <c r="P24" s="408" t="s">
        <v>36</v>
      </c>
      <c r="Q24" s="408" t="s">
        <v>36</v>
      </c>
      <c r="R24" s="408" t="s">
        <v>36</v>
      </c>
      <c r="S24" s="412"/>
      <c r="V24" s="385" t="str">
        <f t="shared" si="2"/>
        <v>363/351</v>
      </c>
      <c r="W24" s="385">
        <f t="shared" si="3"/>
        <v>30</v>
      </c>
      <c r="X24" s="167"/>
      <c r="Y24" s="201">
        <f t="shared" si="0"/>
        <v>3.4011973816621555</v>
      </c>
      <c r="Z24" s="201"/>
    </row>
    <row r="25" spans="1:26">
      <c r="A25" s="154"/>
      <c r="B25" s="13"/>
      <c r="C25" s="13"/>
      <c r="D25" s="13"/>
      <c r="E25" s="13"/>
      <c r="F25" s="13"/>
      <c r="G25" s="13"/>
      <c r="H25" s="13"/>
      <c r="I25" s="13"/>
      <c r="J25" s="13"/>
      <c r="K25" s="13"/>
      <c r="L25" s="13"/>
      <c r="M25" s="13"/>
      <c r="N25" s="13"/>
      <c r="O25" s="13"/>
      <c r="P25" s="13"/>
      <c r="R25" s="13"/>
      <c r="V25" s="385" t="str">
        <f t="shared" si="2"/>
        <v>375/363</v>
      </c>
      <c r="W25" s="385">
        <f t="shared" si="3"/>
        <v>31</v>
      </c>
      <c r="Y25" s="201">
        <f t="shared" si="0"/>
        <v>3.4339872044851463</v>
      </c>
      <c r="Z25" s="415"/>
    </row>
    <row r="26" spans="1:26">
      <c r="A26" s="14" t="s">
        <v>20</v>
      </c>
      <c r="B26" s="13">
        <f>AVERAGE(B19:B24)</f>
        <v>1.0011666666666665</v>
      </c>
      <c r="C26" s="13">
        <f>AVERAGE(C18:C23)</f>
        <v>1.0004999999999999</v>
      </c>
      <c r="D26" s="13">
        <f>AVERAGE(D17:D22)</f>
        <v>1.0004999999999999</v>
      </c>
      <c r="E26" s="13">
        <f>AVERAGE(E16:E21)</f>
        <v>1.0004999999999999</v>
      </c>
      <c r="F26" s="13">
        <f>AVERAGE(F15:F20)</f>
        <v>1.0008333333333332</v>
      </c>
      <c r="G26" s="13">
        <f>AVERAGE(G14:G19)</f>
        <v>1.0004999999999999</v>
      </c>
      <c r="H26" s="13">
        <f>AVERAGE(H13:H18)</f>
        <v>0.99983333333333324</v>
      </c>
      <c r="I26" s="13">
        <f>AVERAGE(I12:I17)</f>
        <v>1.0001666666666666</v>
      </c>
      <c r="J26" s="13">
        <f>AVERAGE(J11:J16)</f>
        <v>1</v>
      </c>
      <c r="K26" s="13">
        <f>AVERAGE(K10:K15)</f>
        <v>1.0001666666666666</v>
      </c>
      <c r="L26" s="13">
        <f>AVERAGE(L9:L14)</f>
        <v>1.0004999999999999</v>
      </c>
      <c r="M26" s="13">
        <f>AVERAGE(M8:M13)</f>
        <v>1.0004999999999999</v>
      </c>
      <c r="N26" s="13">
        <f>AVERAGE(N7:N12)</f>
        <v>1.0003333333333331</v>
      </c>
      <c r="O26" s="13">
        <f>AVERAGE(O6:O11)</f>
        <v>1.0001666666666666</v>
      </c>
      <c r="P26" s="13">
        <f>AVERAGE(P6:P10)</f>
        <v>1</v>
      </c>
      <c r="Q26" s="13">
        <f>AVERAGE(Q6:Q9)</f>
        <v>1.0002499999999999</v>
      </c>
      <c r="R26" s="13">
        <f>AVERAGE(R6:R8)</f>
        <v>1.0006666666666666</v>
      </c>
      <c r="V26" s="385" t="str">
        <f t="shared" si="2"/>
        <v>387/375</v>
      </c>
      <c r="W26" s="385">
        <f t="shared" si="3"/>
        <v>32</v>
      </c>
      <c r="Y26" s="201">
        <f t="shared" si="0"/>
        <v>3.4657359027997265</v>
      </c>
      <c r="Z26" s="415"/>
    </row>
    <row r="27" spans="1:26">
      <c r="A27" s="14" t="s">
        <v>24</v>
      </c>
      <c r="B27" s="13">
        <f t="shared" ref="B27:P27" si="5">B26*C27</f>
        <v>1.0106293072761741</v>
      </c>
      <c r="C27" s="13">
        <f t="shared" si="5"/>
        <v>1.0094516137268261</v>
      </c>
      <c r="D27" s="13">
        <f t="shared" si="5"/>
        <v>1.0089471401567478</v>
      </c>
      <c r="E27" s="13">
        <f t="shared" si="5"/>
        <v>1.0084429186973991</v>
      </c>
      <c r="F27" s="13">
        <f t="shared" si="5"/>
        <v>1.0079389492227877</v>
      </c>
      <c r="G27" s="13">
        <f t="shared" si="5"/>
        <v>1.0070996994732269</v>
      </c>
      <c r="H27" s="13">
        <f t="shared" si="5"/>
        <v>1.0065964012725905</v>
      </c>
      <c r="I27" s="13">
        <f t="shared" si="5"/>
        <v>1.0067641953051414</v>
      </c>
      <c r="J27" s="13">
        <f t="shared" si="5"/>
        <v>1.0065964292336025</v>
      </c>
      <c r="K27" s="13">
        <f t="shared" si="5"/>
        <v>1.0065964292336025</v>
      </c>
      <c r="L27" s="13">
        <f t="shared" si="5"/>
        <v>1.0064286911184162</v>
      </c>
      <c r="M27" s="13">
        <f t="shared" si="5"/>
        <v>1.0059257282542891</v>
      </c>
      <c r="N27" s="13">
        <f t="shared" si="5"/>
        <v>1.0054230167459162</v>
      </c>
      <c r="O27" s="13">
        <f t="shared" si="5"/>
        <v>1.0050879874167775</v>
      </c>
      <c r="P27" s="13">
        <f t="shared" si="5"/>
        <v>1.0049205006666664</v>
      </c>
      <c r="Q27" s="13">
        <f>Q26*R27</f>
        <v>1.0049205006666664</v>
      </c>
      <c r="R27" s="13">
        <f>R26*S27</f>
        <v>1.0046693333333332</v>
      </c>
      <c r="S27" s="13">
        <f>ROUND(PRODUCT(Z29:Z74),3)</f>
        <v>1.004</v>
      </c>
      <c r="V27" s="385" t="str">
        <f t="shared" si="2"/>
        <v>399/387</v>
      </c>
      <c r="W27" s="385">
        <f t="shared" si="3"/>
        <v>33</v>
      </c>
      <c r="Y27" s="201">
        <f t="shared" si="0"/>
        <v>3.4965075614664802</v>
      </c>
      <c r="Z27" s="415"/>
    </row>
    <row r="28" spans="1:26">
      <c r="A28" s="154"/>
      <c r="B28" s="13"/>
      <c r="C28" s="13"/>
      <c r="D28" s="13"/>
      <c r="E28" s="13"/>
      <c r="F28" s="13"/>
      <c r="G28" s="13"/>
      <c r="H28" s="13"/>
      <c r="I28" s="13"/>
      <c r="J28" s="13"/>
      <c r="K28" s="13"/>
      <c r="L28" s="13"/>
      <c r="M28" s="13"/>
      <c r="N28" s="13"/>
      <c r="O28" s="13"/>
      <c r="P28" s="13"/>
      <c r="Q28" s="13"/>
      <c r="R28" s="13"/>
      <c r="V28" s="385" t="str">
        <f t="shared" si="2"/>
        <v>411/399</v>
      </c>
      <c r="W28" s="385">
        <f t="shared" si="3"/>
        <v>34</v>
      </c>
      <c r="Y28" s="201">
        <f t="shared" si="0"/>
        <v>3.5263605246161616</v>
      </c>
      <c r="Z28" s="415"/>
    </row>
    <row r="29" spans="1:26" ht="15" customHeight="1">
      <c r="A29" s="9" t="s">
        <v>25</v>
      </c>
      <c r="B29" s="514" t="s">
        <v>425</v>
      </c>
      <c r="C29" s="514"/>
      <c r="D29" s="514"/>
      <c r="E29" s="514"/>
      <c r="F29" s="514"/>
      <c r="G29" s="514"/>
      <c r="H29" s="514"/>
      <c r="I29" s="514"/>
      <c r="J29" s="514"/>
      <c r="K29" s="514"/>
      <c r="L29" s="514"/>
      <c r="M29" s="514"/>
      <c r="N29" s="514"/>
      <c r="O29" s="514"/>
      <c r="P29" s="514"/>
      <c r="Q29" s="514"/>
      <c r="R29" s="514"/>
      <c r="V29" s="385" t="str">
        <f t="shared" si="2"/>
        <v>423/411</v>
      </c>
      <c r="W29" s="385">
        <f t="shared" si="3"/>
        <v>35</v>
      </c>
      <c r="Y29" s="201">
        <f t="shared" si="0"/>
        <v>3.5553480614894135</v>
      </c>
      <c r="Z29" s="415">
        <f t="shared" ref="Z29:Z74" si="6">(EXP(TREND($Z$4:$Z$23,$Y$4:$Y$23,Y29,TRUE))+1)</f>
        <v>1.0002289618721598</v>
      </c>
    </row>
    <row r="30" spans="1:26" ht="15" customHeight="1">
      <c r="B30" s="515"/>
      <c r="C30" s="515"/>
      <c r="D30" s="515"/>
      <c r="E30" s="515"/>
      <c r="F30" s="515"/>
      <c r="G30" s="515"/>
      <c r="H30" s="515"/>
      <c r="I30" s="515"/>
      <c r="J30" s="515"/>
      <c r="K30" s="515"/>
      <c r="L30" s="515"/>
      <c r="M30" s="515"/>
      <c r="N30" s="515"/>
      <c r="O30" s="515"/>
      <c r="P30" s="515"/>
      <c r="Q30" s="515"/>
      <c r="R30" s="515"/>
      <c r="V30" s="385" t="str">
        <f t="shared" si="2"/>
        <v>435/423</v>
      </c>
      <c r="W30" s="385">
        <f t="shared" si="3"/>
        <v>36</v>
      </c>
      <c r="Y30" s="201">
        <f t="shared" si="0"/>
        <v>3.5835189384561099</v>
      </c>
      <c r="Z30" s="415">
        <f t="shared" si="6"/>
        <v>1.000212891950977</v>
      </c>
    </row>
    <row r="31" spans="1:26" ht="15.75" customHeight="1">
      <c r="O31" s="16"/>
      <c r="P31" s="16"/>
      <c r="Q31" s="16"/>
      <c r="R31" s="16"/>
      <c r="V31" s="385" t="str">
        <f t="shared" si="2"/>
        <v>447/435</v>
      </c>
      <c r="W31" s="385">
        <f t="shared" si="3"/>
        <v>37</v>
      </c>
      <c r="Y31" s="201">
        <f t="shared" si="0"/>
        <v>3.6109179126442243</v>
      </c>
      <c r="Z31" s="415">
        <f t="shared" si="6"/>
        <v>1.0001983450137819</v>
      </c>
    </row>
    <row r="32" spans="1:26">
      <c r="A32" s="203" t="s">
        <v>519</v>
      </c>
      <c r="B32" s="203" t="str">
        <f t="shared" ref="B32:M32" si="7">B4</f>
        <v>219/207</v>
      </c>
      <c r="C32" s="203" t="str">
        <f t="shared" si="7"/>
        <v>231/219</v>
      </c>
      <c r="D32" s="203" t="str">
        <f t="shared" si="7"/>
        <v>243/231</v>
      </c>
      <c r="E32" s="203" t="str">
        <f t="shared" si="7"/>
        <v>255/243</v>
      </c>
      <c r="F32" s="203" t="str">
        <f t="shared" si="7"/>
        <v>267/255</v>
      </c>
      <c r="G32" s="203" t="str">
        <f t="shared" si="7"/>
        <v>279/267</v>
      </c>
      <c r="H32" s="203" t="str">
        <f t="shared" si="7"/>
        <v>291/279</v>
      </c>
      <c r="I32" s="203" t="str">
        <f t="shared" si="7"/>
        <v>303/291</v>
      </c>
      <c r="J32" s="203" t="str">
        <f t="shared" si="7"/>
        <v>315/303</v>
      </c>
      <c r="K32" s="203" t="str">
        <f t="shared" si="7"/>
        <v>327/315</v>
      </c>
      <c r="L32" s="203" t="str">
        <f t="shared" si="7"/>
        <v>339/327</v>
      </c>
      <c r="M32" s="203" t="str">
        <f t="shared" si="7"/>
        <v>351/339</v>
      </c>
      <c r="V32" s="385" t="str">
        <f t="shared" si="2"/>
        <v>459/447</v>
      </c>
      <c r="W32" s="385">
        <f t="shared" si="3"/>
        <v>38</v>
      </c>
      <c r="Y32" s="201">
        <f t="shared" si="0"/>
        <v>3.6375861597263857</v>
      </c>
      <c r="Z32" s="415">
        <f t="shared" si="6"/>
        <v>1.0001851412150873</v>
      </c>
    </row>
    <row r="33" spans="1:26">
      <c r="A33" s="385" t="s">
        <v>520</v>
      </c>
      <c r="B33" s="13">
        <f>AVERAGE(B16:B21)</f>
        <v>1.0011666666666665</v>
      </c>
      <c r="C33" s="13">
        <f>AVERAGE(C15:C20)</f>
        <v>1.0006666666666666</v>
      </c>
      <c r="D33" s="13">
        <f>AVERAGE(D14:D19)</f>
        <v>1.0003333333333333</v>
      </c>
      <c r="E33" s="13">
        <f>AVERAGE(E13:E18)</f>
        <v>1.0006666666666666</v>
      </c>
      <c r="F33" s="13">
        <f>AVERAGE(F12:F17)</f>
        <v>1.0008333333333332</v>
      </c>
      <c r="G33" s="13">
        <f>AVERAGE(G11:G16)</f>
        <v>1.0006666666666666</v>
      </c>
      <c r="H33" s="13">
        <f>AVERAGE(H10:H15)</f>
        <v>1.0003333333333333</v>
      </c>
      <c r="I33" s="13">
        <f>AVERAGE(I9:I14)</f>
        <v>1.0004999999999999</v>
      </c>
      <c r="J33" s="13">
        <f>AVERAGE(J8:J13)</f>
        <v>1.0006666666666666</v>
      </c>
      <c r="K33" s="13">
        <f>AVERAGE(K7:K12)</f>
        <v>1.0008333333333332</v>
      </c>
      <c r="L33" s="13">
        <f>AVERAGE(L6:L11)</f>
        <v>1.0004999999999999</v>
      </c>
      <c r="M33" s="13">
        <f>AVERAGE(M5:M10)</f>
        <v>1.0010000000000001</v>
      </c>
      <c r="N33" s="203"/>
      <c r="V33" s="385" t="str">
        <f t="shared" si="2"/>
        <v>471/459</v>
      </c>
      <c r="W33" s="385">
        <f t="shared" si="3"/>
        <v>39</v>
      </c>
      <c r="Y33" s="201">
        <f t="shared" si="0"/>
        <v>3.6635616461296463</v>
      </c>
      <c r="Z33" s="415">
        <f t="shared" si="6"/>
        <v>1.0001731259287736</v>
      </c>
    </row>
    <row r="34" spans="1:26">
      <c r="A34" s="199"/>
      <c r="B34" s="13"/>
      <c r="C34" s="13"/>
      <c r="D34" s="13"/>
      <c r="E34" s="13"/>
      <c r="F34" s="13"/>
      <c r="G34" s="13"/>
      <c r="H34" s="13"/>
      <c r="I34" s="13"/>
      <c r="J34" s="13"/>
      <c r="K34" s="13"/>
      <c r="L34" s="13"/>
      <c r="M34" s="13"/>
      <c r="N34" s="13"/>
      <c r="V34" s="385" t="str">
        <f t="shared" si="2"/>
        <v>483/471</v>
      </c>
      <c r="W34" s="385">
        <f t="shared" si="3"/>
        <v>40</v>
      </c>
      <c r="Y34" s="201">
        <f t="shared" si="0"/>
        <v>3.6888794541139363</v>
      </c>
      <c r="Z34" s="415">
        <f t="shared" si="6"/>
        <v>1.0001621656807034</v>
      </c>
    </row>
    <row r="35" spans="1:26">
      <c r="V35" s="385" t="str">
        <f t="shared" si="2"/>
        <v>495/483</v>
      </c>
      <c r="W35" s="385">
        <f t="shared" si="3"/>
        <v>41</v>
      </c>
      <c r="Y35" s="201">
        <f t="shared" si="0"/>
        <v>3.713572066704308</v>
      </c>
      <c r="Z35" s="415">
        <f t="shared" si="6"/>
        <v>1.0001521448188437</v>
      </c>
    </row>
    <row r="36" spans="1:26">
      <c r="V36" s="385" t="str">
        <f t="shared" si="2"/>
        <v>507/495</v>
      </c>
      <c r="W36" s="385">
        <f t="shared" si="3"/>
        <v>42</v>
      </c>
      <c r="Y36" s="201">
        <f t="shared" si="0"/>
        <v>3.7376696182833684</v>
      </c>
      <c r="Z36" s="415">
        <f t="shared" si="6"/>
        <v>1.0001429627730842</v>
      </c>
    </row>
    <row r="37" spans="1:26">
      <c r="V37" s="385" t="str">
        <f t="shared" si="2"/>
        <v>519/507</v>
      </c>
      <c r="W37" s="385">
        <f t="shared" si="3"/>
        <v>43</v>
      </c>
      <c r="Y37" s="201">
        <f t="shared" si="0"/>
        <v>3.7612001156935624</v>
      </c>
      <c r="Z37" s="415">
        <f t="shared" si="6"/>
        <v>1.0001345317892512</v>
      </c>
    </row>
    <row r="38" spans="1:26">
      <c r="V38" s="385" t="str">
        <f t="shared" si="2"/>
        <v>531/519</v>
      </c>
      <c r="W38" s="385">
        <f t="shared" si="3"/>
        <v>44</v>
      </c>
      <c r="Y38" s="201">
        <f t="shared" si="0"/>
        <v>3.784189633918261</v>
      </c>
      <c r="Z38" s="415">
        <f t="shared" si="6"/>
        <v>1.000126775046515</v>
      </c>
    </row>
    <row r="39" spans="1:26">
      <c r="V39" s="385" t="str">
        <f t="shared" si="2"/>
        <v>543/531</v>
      </c>
      <c r="W39" s="385">
        <f t="shared" si="3"/>
        <v>45</v>
      </c>
      <c r="Y39" s="201">
        <f t="shared" si="0"/>
        <v>3.8066624897703196</v>
      </c>
      <c r="Z39" s="415">
        <f t="shared" si="6"/>
        <v>1.0001196250863769</v>
      </c>
    </row>
    <row r="40" spans="1:26">
      <c r="V40" s="385" t="str">
        <f t="shared" si="2"/>
        <v>555/543</v>
      </c>
      <c r="W40" s="385">
        <f t="shared" si="3"/>
        <v>46</v>
      </c>
      <c r="Y40" s="201">
        <f t="shared" si="0"/>
        <v>3.8286413964890951</v>
      </c>
      <c r="Z40" s="415">
        <f t="shared" si="6"/>
        <v>1.0001130224961134</v>
      </c>
    </row>
    <row r="41" spans="1:26">
      <c r="N41" s="167"/>
      <c r="V41" s="385" t="str">
        <f t="shared" si="2"/>
        <v>567/555</v>
      </c>
      <c r="W41" s="385">
        <f t="shared" si="3"/>
        <v>47</v>
      </c>
      <c r="Y41" s="201">
        <f t="shared" si="0"/>
        <v>3.8501476017100584</v>
      </c>
      <c r="Z41" s="415">
        <f t="shared" si="6"/>
        <v>1.0001069148010109</v>
      </c>
    </row>
    <row r="42" spans="1:26">
      <c r="M42" s="167"/>
      <c r="V42" s="385" t="str">
        <f t="shared" si="2"/>
        <v>579/567</v>
      </c>
      <c r="W42" s="385">
        <f t="shared" si="3"/>
        <v>48</v>
      </c>
      <c r="Y42" s="201">
        <f t="shared" si="0"/>
        <v>3.8712010109078911</v>
      </c>
      <c r="Z42" s="415">
        <f t="shared" si="6"/>
        <v>1.000101255528677</v>
      </c>
    </row>
    <row r="43" spans="1:26">
      <c r="L43" s="167"/>
      <c r="V43" s="385" t="str">
        <f t="shared" si="2"/>
        <v>591/579</v>
      </c>
      <c r="W43" s="385">
        <f t="shared" si="3"/>
        <v>49</v>
      </c>
      <c r="Y43" s="201">
        <f t="shared" si="0"/>
        <v>3.8918202981106265</v>
      </c>
      <c r="Z43" s="415">
        <f t="shared" si="6"/>
        <v>1.0000960034157897</v>
      </c>
    </row>
    <row r="44" spans="1:26">
      <c r="K44" s="167"/>
      <c r="V44" s="385" t="str">
        <f t="shared" si="2"/>
        <v>603/591</v>
      </c>
      <c r="W44" s="385">
        <f t="shared" si="3"/>
        <v>50</v>
      </c>
      <c r="Y44" s="201">
        <f t="shared" si="0"/>
        <v>3.912023005428146</v>
      </c>
      <c r="Z44" s="415">
        <f t="shared" si="6"/>
        <v>1.0000911217332196</v>
      </c>
    </row>
    <row r="45" spans="1:26">
      <c r="J45" s="167"/>
      <c r="V45" s="385" t="str">
        <f t="shared" si="2"/>
        <v>615/603</v>
      </c>
      <c r="W45" s="385">
        <f t="shared" si="3"/>
        <v>51</v>
      </c>
      <c r="Y45" s="201">
        <f t="shared" si="0"/>
        <v>3.9318256327243257</v>
      </c>
      <c r="Z45" s="415">
        <f t="shared" si="6"/>
        <v>1.0000865777099206</v>
      </c>
    </row>
    <row r="46" spans="1:26">
      <c r="I46" s="167"/>
      <c r="V46" s="385" t="str">
        <f t="shared" si="2"/>
        <v>627/615</v>
      </c>
      <c r="W46" s="385">
        <f t="shared" si="3"/>
        <v>52</v>
      </c>
      <c r="Y46" s="201">
        <f t="shared" si="0"/>
        <v>3.9512437185814275</v>
      </c>
      <c r="Z46" s="415">
        <f t="shared" si="6"/>
        <v>1.0000823420395428</v>
      </c>
    </row>
    <row r="47" spans="1:26">
      <c r="H47" s="167"/>
      <c r="V47" s="385" t="str">
        <f t="shared" si="2"/>
        <v>639/627</v>
      </c>
      <c r="W47" s="385">
        <f t="shared" si="3"/>
        <v>53</v>
      </c>
      <c r="Y47" s="201">
        <f t="shared" si="0"/>
        <v>3.970291913552122</v>
      </c>
      <c r="Z47" s="415">
        <f t="shared" si="6"/>
        <v>1.0000783884565654</v>
      </c>
    </row>
    <row r="48" spans="1:26">
      <c r="G48" s="167"/>
      <c r="V48" s="385" t="str">
        <f t="shared" si="2"/>
        <v>651/639</v>
      </c>
      <c r="W48" s="385">
        <f t="shared" si="3"/>
        <v>54</v>
      </c>
      <c r="Y48" s="201">
        <f t="shared" si="0"/>
        <v>3.9889840465642745</v>
      </c>
      <c r="Z48" s="415">
        <f t="shared" si="6"/>
        <v>1.0000746933710734</v>
      </c>
    </row>
    <row r="49" spans="2:26">
      <c r="F49" s="167"/>
      <c r="V49" s="385" t="str">
        <f t="shared" si="2"/>
        <v>663/651</v>
      </c>
      <c r="W49" s="385">
        <f t="shared" si="3"/>
        <v>55</v>
      </c>
      <c r="Y49" s="201">
        <f t="shared" si="0"/>
        <v>4.0073331852324712</v>
      </c>
      <c r="Z49" s="415">
        <f t="shared" si="6"/>
        <v>1.0000712355531536</v>
      </c>
    </row>
    <row r="50" spans="2:26">
      <c r="E50" s="167"/>
      <c r="V50" s="385" t="str">
        <f t="shared" si="2"/>
        <v>675/663</v>
      </c>
      <c r="W50" s="385">
        <f t="shared" si="3"/>
        <v>56</v>
      </c>
      <c r="Y50" s="201">
        <f t="shared" si="0"/>
        <v>4.0253516907351496</v>
      </c>
      <c r="Z50" s="415">
        <f t="shared" si="6"/>
        <v>1.0000679958594176</v>
      </c>
    </row>
    <row r="51" spans="2:26">
      <c r="D51" s="167"/>
      <c r="V51" s="385" t="str">
        <f t="shared" si="2"/>
        <v>687/675</v>
      </c>
      <c r="W51" s="385">
        <f t="shared" si="3"/>
        <v>57</v>
      </c>
      <c r="Y51" s="201">
        <f t="shared" si="0"/>
        <v>4.0430512678345503</v>
      </c>
      <c r="Z51" s="415">
        <f t="shared" si="6"/>
        <v>1.0000649569953961</v>
      </c>
    </row>
    <row r="52" spans="2:26">
      <c r="C52" s="167"/>
      <c r="V52" s="385" t="str">
        <f t="shared" si="2"/>
        <v>699/687</v>
      </c>
      <c r="W52" s="385">
        <f t="shared" si="3"/>
        <v>58</v>
      </c>
      <c r="Y52" s="201">
        <f t="shared" si="0"/>
        <v>4.0604430105464191</v>
      </c>
      <c r="Z52" s="415">
        <f t="shared" si="6"/>
        <v>1.0000621033085688</v>
      </c>
    </row>
    <row r="53" spans="2:26">
      <c r="B53" s="167"/>
      <c r="V53" s="385" t="str">
        <f t="shared" si="2"/>
        <v>711/699</v>
      </c>
      <c r="W53" s="385">
        <f t="shared" si="3"/>
        <v>59</v>
      </c>
      <c r="Y53" s="201">
        <f t="shared" si="0"/>
        <v>4.0775374439057197</v>
      </c>
      <c r="Z53" s="415">
        <f t="shared" si="6"/>
        <v>1.0000594206076361</v>
      </c>
    </row>
    <row r="54" spans="2:26">
      <c r="V54" s="385" t="str">
        <f t="shared" si="2"/>
        <v>723/711</v>
      </c>
      <c r="W54" s="385">
        <f t="shared" si="3"/>
        <v>60</v>
      </c>
      <c r="Y54" s="201">
        <f t="shared" si="0"/>
        <v>4.0943445622221004</v>
      </c>
      <c r="Z54" s="415">
        <f t="shared" si="6"/>
        <v>1.0000568960043277</v>
      </c>
    </row>
    <row r="55" spans="2:26">
      <c r="V55" s="385" t="str">
        <f t="shared" si="2"/>
        <v>735/723</v>
      </c>
      <c r="W55" s="385">
        <f t="shared" si="3"/>
        <v>61</v>
      </c>
      <c r="Y55" s="201">
        <f t="shared" si="0"/>
        <v>4.1108738641733114</v>
      </c>
      <c r="Z55" s="415">
        <f t="shared" si="6"/>
        <v>1.0000545177746174</v>
      </c>
    </row>
    <row r="56" spans="2:26">
      <c r="V56" s="385" t="str">
        <f t="shared" si="2"/>
        <v>747/735</v>
      </c>
      <c r="W56" s="385">
        <f t="shared" si="3"/>
        <v>62</v>
      </c>
      <c r="Y56" s="201">
        <f t="shared" si="0"/>
        <v>4.1271343850450917</v>
      </c>
      <c r="Z56" s="415">
        <f t="shared" si="6"/>
        <v>1.0000522752366947</v>
      </c>
    </row>
    <row r="57" spans="2:26">
      <c r="V57" s="385" t="str">
        <f t="shared" si="2"/>
        <v>759/747</v>
      </c>
      <c r="W57" s="385">
        <f t="shared" si="3"/>
        <v>63</v>
      </c>
      <c r="Y57" s="201">
        <f t="shared" si="0"/>
        <v>4.1431347263915326</v>
      </c>
      <c r="Z57" s="415">
        <f t="shared" si="6"/>
        <v>1.0000501586434369</v>
      </c>
    </row>
    <row r="58" spans="2:26">
      <c r="V58" s="385" t="str">
        <f t="shared" si="2"/>
        <v>771/759</v>
      </c>
      <c r="W58" s="385">
        <f t="shared" si="3"/>
        <v>64</v>
      </c>
      <c r="Y58" s="201">
        <f t="shared" si="0"/>
        <v>4.1588830833596715</v>
      </c>
      <c r="Z58" s="415">
        <f t="shared" si="6"/>
        <v>1.0000481590874648</v>
      </c>
    </row>
    <row r="59" spans="2:26">
      <c r="V59" s="385" t="str">
        <f t="shared" si="2"/>
        <v>783/771</v>
      </c>
      <c r="W59" s="385">
        <f t="shared" si="3"/>
        <v>65</v>
      </c>
      <c r="Y59" s="201">
        <f t="shared" si="0"/>
        <v>4.1743872698956368</v>
      </c>
      <c r="Z59" s="415">
        <f t="shared" si="6"/>
        <v>1.0000462684171363</v>
      </c>
    </row>
    <row r="60" spans="2:26">
      <c r="V60" s="385" t="str">
        <f t="shared" si="2"/>
        <v>795/783</v>
      </c>
      <c r="W60" s="385">
        <f t="shared" si="3"/>
        <v>66</v>
      </c>
      <c r="Y60" s="201">
        <f t="shared" si="0"/>
        <v>4.1896547420264252</v>
      </c>
      <c r="Z60" s="415">
        <f t="shared" si="6"/>
        <v>1.0000444791620759</v>
      </c>
    </row>
    <row r="61" spans="2:26">
      <c r="V61" s="385" t="str">
        <f t="shared" si="2"/>
        <v>807/795</v>
      </c>
      <c r="W61" s="385">
        <f t="shared" si="3"/>
        <v>67</v>
      </c>
      <c r="Y61" s="201">
        <f t="shared" si="0"/>
        <v>4.2046926193909657</v>
      </c>
      <c r="Z61" s="415">
        <f t="shared" si="6"/>
        <v>1.0000427844670341</v>
      </c>
    </row>
    <row r="62" spans="2:26">
      <c r="V62" s="385" t="str">
        <f t="shared" si="2"/>
        <v>819/807</v>
      </c>
      <c r="W62" s="385">
        <f t="shared" si="3"/>
        <v>68</v>
      </c>
      <c r="Y62" s="201">
        <f t="shared" si="0"/>
        <v>4.219507705176107</v>
      </c>
      <c r="Z62" s="415">
        <f t="shared" si="6"/>
        <v>1.0000411780330325</v>
      </c>
    </row>
    <row r="63" spans="2:26">
      <c r="V63" s="385" t="str">
        <f t="shared" si="2"/>
        <v>831/819</v>
      </c>
      <c r="W63" s="385">
        <f t="shared" si="3"/>
        <v>69</v>
      </c>
      <c r="Y63" s="201">
        <f t="shared" si="0"/>
        <v>4.2341065045972597</v>
      </c>
      <c r="Z63" s="415">
        <f t="shared" si="6"/>
        <v>1.0000396540649052</v>
      </c>
    </row>
    <row r="64" spans="2:26">
      <c r="V64" s="385" t="str">
        <f t="shared" si="2"/>
        <v>843/831</v>
      </c>
      <c r="W64" s="385">
        <f t="shared" si="3"/>
        <v>70</v>
      </c>
      <c r="Y64" s="201">
        <f t="shared" si="0"/>
        <v>4.2484952420493594</v>
      </c>
      <c r="Z64" s="415">
        <f t="shared" si="6"/>
        <v>1.0000382072244571</v>
      </c>
    </row>
    <row r="65" spans="22:26">
      <c r="V65" s="385" t="str">
        <f t="shared" si="2"/>
        <v>855/843</v>
      </c>
      <c r="W65" s="385">
        <f t="shared" si="3"/>
        <v>71</v>
      </c>
      <c r="Y65" s="201">
        <f t="shared" si="0"/>
        <v>4.2626798770413155</v>
      </c>
      <c r="Z65" s="415">
        <f t="shared" si="6"/>
        <v>1.0000368325885687</v>
      </c>
    </row>
    <row r="66" spans="22:26">
      <c r="V66" s="385" t="str">
        <f t="shared" si="2"/>
        <v>867/855</v>
      </c>
      <c r="W66" s="385">
        <f t="shared" si="3"/>
        <v>72</v>
      </c>
      <c r="Y66" s="201">
        <f t="shared" si="0"/>
        <v>4.2766661190160553</v>
      </c>
      <c r="Z66" s="415">
        <f t="shared" si="6"/>
        <v>1.0000355256116635</v>
      </c>
    </row>
    <row r="67" spans="22:26">
      <c r="V67" s="385" t="str">
        <f t="shared" si="2"/>
        <v>879/867</v>
      </c>
      <c r="W67" s="385">
        <f t="shared" si="3"/>
        <v>73</v>
      </c>
      <c r="Y67" s="201">
        <f t="shared" si="0"/>
        <v>4.290459441148391</v>
      </c>
      <c r="Z67" s="415">
        <f t="shared" si="6"/>
        <v>1.0000342820920347</v>
      </c>
    </row>
    <row r="68" spans="22:26">
      <c r="V68" s="385" t="str">
        <f t="shared" si="2"/>
        <v>891/879</v>
      </c>
      <c r="W68" s="385">
        <f t="shared" si="3"/>
        <v>74</v>
      </c>
      <c r="Y68" s="201">
        <f t="shared" si="0"/>
        <v>4.3040650932041702</v>
      </c>
      <c r="Z68" s="415">
        <f t="shared" si="6"/>
        <v>1.0000330981415817</v>
      </c>
    </row>
    <row r="69" spans="22:26">
      <c r="V69" s="385" t="str">
        <f t="shared" si="2"/>
        <v>903/891</v>
      </c>
      <c r="W69" s="385">
        <f t="shared" si="3"/>
        <v>75</v>
      </c>
      <c r="Y69" s="201">
        <f t="shared" ref="Y69:Y74" si="8">LN(W69)</f>
        <v>4.3174881135363101</v>
      </c>
      <c r="Z69" s="415">
        <f t="shared" si="6"/>
        <v>1.0000319701585756</v>
      </c>
    </row>
    <row r="70" spans="22:26">
      <c r="V70" s="385" t="str">
        <f t="shared" ref="V70:V74" si="9">LEFT(V69,3)+12&amp;"/"&amp;LEFT(V69,3)</f>
        <v>915/903</v>
      </c>
      <c r="W70" s="385">
        <f t="shared" ref="W70:W74" si="10">+W69+1</f>
        <v>76</v>
      </c>
      <c r="Y70" s="201">
        <f t="shared" si="8"/>
        <v>4.3307333402863311</v>
      </c>
      <c r="Z70" s="415">
        <f t="shared" si="6"/>
        <v>1.0000308948031145</v>
      </c>
    </row>
    <row r="71" spans="22:26">
      <c r="V71" s="385" t="str">
        <f t="shared" si="9"/>
        <v>927/915</v>
      </c>
      <c r="W71" s="385">
        <f t="shared" si="10"/>
        <v>77</v>
      </c>
      <c r="Y71" s="201">
        <f t="shared" si="8"/>
        <v>4.3438054218536841</v>
      </c>
      <c r="Z71" s="415">
        <f t="shared" si="6"/>
        <v>1.0000298689749691</v>
      </c>
    </row>
    <row r="72" spans="22:26">
      <c r="V72" s="385" t="str">
        <f t="shared" si="9"/>
        <v>939/927</v>
      </c>
      <c r="W72" s="385">
        <f t="shared" si="10"/>
        <v>78</v>
      </c>
      <c r="Y72" s="201">
        <f t="shared" si="8"/>
        <v>4.3567088266895917</v>
      </c>
      <c r="Z72" s="415">
        <f t="shared" si="6"/>
        <v>1.000028889793561</v>
      </c>
    </row>
    <row r="73" spans="22:26">
      <c r="V73" s="385" t="str">
        <f t="shared" si="9"/>
        <v>951/939</v>
      </c>
      <c r="W73" s="385">
        <f t="shared" si="10"/>
        <v>79</v>
      </c>
      <c r="Y73" s="201">
        <f t="shared" si="8"/>
        <v>4.3694478524670215</v>
      </c>
      <c r="Z73" s="415">
        <f t="shared" si="6"/>
        <v>1.0000279545798434</v>
      </c>
    </row>
    <row r="74" spans="22:26">
      <c r="V74" s="385" t="str">
        <f t="shared" si="9"/>
        <v>963/951</v>
      </c>
      <c r="W74" s="385">
        <f t="shared" si="10"/>
        <v>80</v>
      </c>
      <c r="Y74" s="201">
        <f t="shared" si="8"/>
        <v>4.3820266346738812</v>
      </c>
      <c r="Z74" s="415">
        <f t="shared" si="6"/>
        <v>1.0000270608398834</v>
      </c>
    </row>
  </sheetData>
  <mergeCells count="6">
    <mergeCell ref="B29:R30"/>
    <mergeCell ref="B3:R3"/>
    <mergeCell ref="A1:R1"/>
    <mergeCell ref="V2:Z2"/>
    <mergeCell ref="U4:U11"/>
    <mergeCell ref="U12:U23"/>
  </mergeCells>
  <pageMargins left="0.7" right="0.7" top="0.75" bottom="0.75" header="0.3" footer="0.3"/>
  <pageSetup scale="73" orientation="landscape"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S22"/>
  <sheetViews>
    <sheetView zoomScaleNormal="100" zoomScaleSheetLayoutView="115" workbookViewId="0">
      <selection sqref="A1:O1"/>
    </sheetView>
  </sheetViews>
  <sheetFormatPr defaultColWidth="9.140625" defaultRowHeight="12.75"/>
  <cols>
    <col min="1" max="1" width="6.7109375" style="125" customWidth="1"/>
    <col min="2" max="7" width="7.7109375" style="125" customWidth="1"/>
    <col min="8" max="8" width="14" style="125" customWidth="1"/>
    <col min="9" max="9" width="5" style="125" customWidth="1"/>
    <col min="10" max="10" width="1.140625" style="125" customWidth="1"/>
    <col min="11" max="11" width="7.7109375" style="125" customWidth="1"/>
    <col min="12" max="12" width="1.7109375" style="125" customWidth="1"/>
    <col min="13" max="13" width="7.7109375" style="125" customWidth="1"/>
    <col min="14" max="14" width="1.7109375" style="125" customWidth="1"/>
    <col min="15" max="15" width="7.7109375" style="125" customWidth="1"/>
    <col min="16" max="16384" width="9.140625" style="125"/>
  </cols>
  <sheetData>
    <row r="1" spans="1:19">
      <c r="A1" s="590" t="s">
        <v>262</v>
      </c>
      <c r="B1" s="590"/>
      <c r="C1" s="590"/>
      <c r="D1" s="590"/>
      <c r="E1" s="590"/>
      <c r="F1" s="590"/>
      <c r="G1" s="590"/>
      <c r="H1" s="590"/>
      <c r="I1" s="590"/>
      <c r="J1" s="590"/>
      <c r="K1" s="590"/>
      <c r="L1" s="590"/>
      <c r="M1" s="590"/>
      <c r="N1" s="590"/>
      <c r="O1" s="590"/>
    </row>
    <row r="2" spans="1:19">
      <c r="A2" s="591" t="s">
        <v>511</v>
      </c>
      <c r="B2" s="591"/>
      <c r="C2" s="591"/>
      <c r="D2" s="591"/>
      <c r="E2" s="591"/>
      <c r="F2" s="591"/>
      <c r="G2" s="591"/>
      <c r="H2" s="591"/>
      <c r="I2" s="591"/>
      <c r="J2" s="591"/>
      <c r="K2" s="591"/>
      <c r="L2" s="591"/>
      <c r="M2" s="591"/>
      <c r="N2" s="591"/>
      <c r="O2" s="591"/>
    </row>
    <row r="3" spans="1:19">
      <c r="A3" s="591" t="s">
        <v>489</v>
      </c>
      <c r="B3" s="591"/>
      <c r="C3" s="591"/>
      <c r="D3" s="591"/>
      <c r="E3" s="591"/>
      <c r="F3" s="591"/>
      <c r="G3" s="591"/>
      <c r="H3" s="591"/>
      <c r="I3" s="591"/>
      <c r="J3" s="591"/>
      <c r="K3" s="591"/>
      <c r="L3" s="591"/>
      <c r="M3" s="591"/>
      <c r="N3" s="591"/>
      <c r="O3" s="591"/>
    </row>
    <row r="4" spans="1:19">
      <c r="A4" s="117"/>
      <c r="B4" s="118"/>
      <c r="C4" s="118"/>
      <c r="D4" s="118"/>
      <c r="E4" s="118"/>
      <c r="F4" s="118"/>
      <c r="G4" s="118"/>
      <c r="H4" s="118"/>
      <c r="I4" s="118"/>
      <c r="J4" s="118"/>
      <c r="K4" s="118"/>
      <c r="L4" s="118"/>
      <c r="M4" s="119"/>
      <c r="N4" s="119"/>
      <c r="O4" s="119"/>
    </row>
    <row r="5" spans="1:19">
      <c r="A5" s="117"/>
      <c r="B5" s="119"/>
      <c r="C5" s="119"/>
      <c r="D5" s="119"/>
      <c r="E5" s="119"/>
      <c r="F5" s="119"/>
      <c r="G5" s="120"/>
      <c r="H5" s="120"/>
      <c r="I5" s="120"/>
      <c r="J5" s="120"/>
      <c r="K5" s="120"/>
      <c r="L5" s="120"/>
      <c r="M5" s="121"/>
      <c r="N5" s="121"/>
      <c r="O5" s="121"/>
    </row>
    <row r="6" spans="1:19">
      <c r="A6" s="117"/>
      <c r="B6" s="119"/>
      <c r="C6" s="119"/>
      <c r="D6" s="119"/>
      <c r="E6" s="119"/>
      <c r="F6" s="119"/>
      <c r="G6" s="122"/>
      <c r="H6" s="122"/>
      <c r="I6" s="122"/>
      <c r="J6" s="122"/>
      <c r="K6" s="122"/>
      <c r="L6" s="122"/>
      <c r="M6" s="122"/>
      <c r="N6" s="122"/>
      <c r="O6" s="122"/>
    </row>
    <row r="7" spans="1:19">
      <c r="A7" s="117"/>
      <c r="B7" s="119"/>
      <c r="C7" s="119"/>
      <c r="D7" s="119"/>
      <c r="E7" s="119"/>
      <c r="F7" s="119"/>
      <c r="G7" s="122"/>
      <c r="H7" s="122"/>
      <c r="I7" s="122"/>
      <c r="J7" s="122"/>
      <c r="K7" s="120" t="s">
        <v>3</v>
      </c>
      <c r="L7" s="120"/>
      <c r="M7" s="120" t="s">
        <v>5</v>
      </c>
      <c r="N7" s="120"/>
      <c r="O7" s="120" t="s">
        <v>128</v>
      </c>
    </row>
    <row r="8" spans="1:19">
      <c r="A8" s="117"/>
      <c r="B8" s="119"/>
      <c r="C8" s="119"/>
      <c r="D8" s="119"/>
      <c r="E8" s="119"/>
      <c r="F8" s="119"/>
      <c r="G8" s="122"/>
      <c r="H8" s="122"/>
      <c r="I8" s="122"/>
      <c r="J8" s="122"/>
      <c r="K8" s="122"/>
      <c r="L8" s="122"/>
      <c r="M8" s="122"/>
      <c r="N8" s="122"/>
      <c r="O8" s="122"/>
    </row>
    <row r="9" spans="1:19" ht="28.5" customHeight="1">
      <c r="A9" s="123" t="s">
        <v>263</v>
      </c>
      <c r="B9" s="592" t="s">
        <v>264</v>
      </c>
      <c r="C9" s="592"/>
      <c r="D9" s="592"/>
      <c r="E9" s="592"/>
      <c r="F9" s="592"/>
      <c r="G9" s="592"/>
      <c r="H9" s="592"/>
      <c r="I9" s="122"/>
      <c r="J9" s="122"/>
      <c r="K9" s="124">
        <f ca="1">ROUND('Exhibit 7.1'!I47,3)</f>
        <v>0.25700000000000001</v>
      </c>
      <c r="L9" s="124"/>
      <c r="M9" s="124">
        <f ca="1">ROUND('Exhibit 7.3'!I47,3)</f>
        <v>0.32600000000000001</v>
      </c>
      <c r="N9" s="124"/>
      <c r="O9" s="124">
        <f ca="1">K9+M9</f>
        <v>0.58299999999999996</v>
      </c>
    </row>
    <row r="10" spans="1:19">
      <c r="A10" s="123"/>
      <c r="B10" s="378"/>
      <c r="C10" s="378"/>
      <c r="D10" s="378"/>
      <c r="E10" s="378"/>
      <c r="F10" s="378"/>
      <c r="G10" s="378"/>
      <c r="H10" s="378"/>
      <c r="I10" s="122"/>
      <c r="J10" s="122"/>
      <c r="K10" s="124"/>
      <c r="L10" s="124"/>
      <c r="M10" s="124"/>
      <c r="N10" s="124"/>
      <c r="O10" s="124"/>
      <c r="Q10" s="143" t="s">
        <v>286</v>
      </c>
      <c r="R10" s="221" t="s">
        <v>280</v>
      </c>
      <c r="S10" s="144" t="s">
        <v>287</v>
      </c>
    </row>
    <row r="11" spans="1:19">
      <c r="A11" s="126" t="s">
        <v>415</v>
      </c>
      <c r="B11" s="125" t="s">
        <v>265</v>
      </c>
      <c r="K11" s="127"/>
      <c r="L11" s="127"/>
      <c r="M11" s="121"/>
      <c r="N11" s="121"/>
      <c r="O11" s="142">
        <f>1+SUM(Q11:S11)</f>
        <v>1.3639999999999999</v>
      </c>
      <c r="Q11" s="502">
        <v>0.17199999999999999</v>
      </c>
      <c r="R11" s="503">
        <v>4.4999999999999998E-2</v>
      </c>
      <c r="S11" s="504">
        <v>0.14699999999999999</v>
      </c>
    </row>
    <row r="12" spans="1:19">
      <c r="A12" s="117"/>
      <c r="B12" s="125" t="s">
        <v>423</v>
      </c>
      <c r="K12" s="122"/>
      <c r="L12" s="122"/>
      <c r="M12" s="122"/>
      <c r="N12" s="122"/>
      <c r="O12" s="122"/>
    </row>
    <row r="13" spans="1:19" ht="28.5" customHeight="1">
      <c r="A13" s="117"/>
      <c r="J13" s="394"/>
      <c r="K13" s="128"/>
      <c r="L13" s="128"/>
      <c r="M13" s="128"/>
      <c r="N13" s="127"/>
    </row>
    <row r="14" spans="1:19" ht="40.5" customHeight="1">
      <c r="A14" s="123" t="s">
        <v>416</v>
      </c>
      <c r="B14" s="533" t="s">
        <v>417</v>
      </c>
      <c r="C14" s="533"/>
      <c r="D14" s="533"/>
      <c r="E14" s="533"/>
      <c r="F14" s="533"/>
      <c r="G14" s="533"/>
      <c r="H14" s="533"/>
      <c r="I14" s="537"/>
      <c r="J14" s="394"/>
      <c r="K14" s="128"/>
      <c r="L14" s="128"/>
      <c r="M14" s="128"/>
      <c r="N14" s="127"/>
      <c r="O14" s="128">
        <f ca="1">O11*O9</f>
        <v>0.79521199999999992</v>
      </c>
    </row>
    <row r="15" spans="1:19">
      <c r="A15" s="123"/>
      <c r="B15" s="394"/>
      <c r="C15" s="394"/>
      <c r="D15" s="394"/>
      <c r="E15" s="394"/>
      <c r="F15" s="394"/>
      <c r="G15" s="394"/>
      <c r="H15" s="394"/>
      <c r="I15" s="394"/>
      <c r="J15" s="394"/>
      <c r="K15" s="128"/>
      <c r="L15" s="128"/>
      <c r="M15" s="128"/>
      <c r="N15" s="127"/>
      <c r="O15" s="128"/>
    </row>
    <row r="16" spans="1:19" ht="15">
      <c r="A16" s="219" t="s">
        <v>266</v>
      </c>
      <c r="B16" s="533" t="s">
        <v>512</v>
      </c>
      <c r="C16" s="533"/>
      <c r="D16" s="533"/>
      <c r="E16" s="533"/>
      <c r="F16" s="533"/>
      <c r="G16" s="533"/>
      <c r="H16" s="533"/>
      <c r="I16" s="537"/>
      <c r="J16" s="387"/>
      <c r="K16" s="235"/>
      <c r="L16" s="235"/>
      <c r="M16" s="235"/>
      <c r="N16" s="44"/>
      <c r="O16" s="505">
        <v>-3.0000000000000001E-3</v>
      </c>
    </row>
    <row r="17" spans="1:15">
      <c r="A17" s="219"/>
    </row>
    <row r="18" spans="1:15" ht="37.5" customHeight="1">
      <c r="A18" s="219" t="s">
        <v>400</v>
      </c>
      <c r="B18" s="533" t="s">
        <v>513</v>
      </c>
      <c r="C18" s="533"/>
      <c r="D18" s="533"/>
      <c r="E18" s="533"/>
      <c r="F18" s="533"/>
      <c r="G18" s="533"/>
      <c r="H18" s="533"/>
      <c r="I18" s="537"/>
      <c r="J18" s="394"/>
      <c r="K18" s="128"/>
      <c r="L18" s="128"/>
      <c r="M18" s="128"/>
      <c r="N18" s="127"/>
      <c r="O18" s="247">
        <f ca="1">O14*(1+O16)-1</f>
        <v>-0.20717363600000005</v>
      </c>
    </row>
    <row r="19" spans="1:15">
      <c r="A19" s="219"/>
      <c r="B19" s="387"/>
      <c r="C19" s="387"/>
      <c r="D19" s="387"/>
      <c r="E19" s="387"/>
      <c r="F19" s="387"/>
      <c r="G19" s="387"/>
      <c r="H19" s="387"/>
      <c r="I19" s="394"/>
      <c r="J19" s="394"/>
      <c r="K19" s="128"/>
      <c r="L19" s="128"/>
      <c r="M19" s="128"/>
      <c r="N19" s="127"/>
      <c r="O19" s="128"/>
    </row>
    <row r="20" spans="1:15" ht="30.75" customHeight="1">
      <c r="A20" s="219" t="s">
        <v>267</v>
      </c>
      <c r="B20" s="533" t="s">
        <v>514</v>
      </c>
      <c r="C20" s="533"/>
      <c r="D20" s="533"/>
      <c r="E20" s="533"/>
      <c r="F20" s="533"/>
      <c r="G20" s="533"/>
      <c r="H20" s="533"/>
      <c r="I20" s="525"/>
      <c r="O20" s="506">
        <v>1.99</v>
      </c>
    </row>
    <row r="21" spans="1:15">
      <c r="A21" s="219"/>
      <c r="B21" s="389"/>
      <c r="C21" s="389"/>
      <c r="D21" s="389"/>
      <c r="E21" s="389"/>
      <c r="F21" s="389"/>
      <c r="G21" s="389"/>
      <c r="H21" s="389"/>
      <c r="O21" s="122"/>
    </row>
    <row r="22" spans="1:15" ht="48.75" customHeight="1">
      <c r="A22" s="219" t="s">
        <v>336</v>
      </c>
      <c r="B22" s="533" t="s">
        <v>515</v>
      </c>
      <c r="C22" s="533"/>
      <c r="D22" s="533"/>
      <c r="E22" s="533"/>
      <c r="F22" s="533"/>
      <c r="G22" s="533"/>
      <c r="H22" s="533"/>
      <c r="I22" s="525"/>
      <c r="O22" s="129">
        <f ca="1">O20*(1+O18)</f>
        <v>1.5777244643599999</v>
      </c>
    </row>
  </sheetData>
  <sheetProtection selectLockedCells="1"/>
  <mergeCells count="9">
    <mergeCell ref="B22:I22"/>
    <mergeCell ref="B20:I20"/>
    <mergeCell ref="B14:I14"/>
    <mergeCell ref="B16:I16"/>
    <mergeCell ref="A1:O1"/>
    <mergeCell ref="A2:O2"/>
    <mergeCell ref="A3:O3"/>
    <mergeCell ref="B9:H9"/>
    <mergeCell ref="B18:I18"/>
  </mergeCells>
  <printOptions horizontalCentered="1"/>
  <pageMargins left="0.7" right="0.7" top="0.75" bottom="0.75" header="0.3" footer="0.3"/>
  <pageSetup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IU94"/>
  <sheetViews>
    <sheetView workbookViewId="0">
      <selection sqref="A1:Q1"/>
    </sheetView>
  </sheetViews>
  <sheetFormatPr defaultColWidth="9.140625" defaultRowHeight="12.75"/>
  <cols>
    <col min="1" max="1" width="14" style="154" customWidth="1"/>
    <col min="2" max="17" width="7.7109375" style="154" customWidth="1"/>
    <col min="18" max="16384" width="9.140625" style="154"/>
  </cols>
  <sheetData>
    <row r="1" spans="1:17" ht="13.15" customHeight="1">
      <c r="A1" s="512" t="s">
        <v>27</v>
      </c>
      <c r="B1" s="512"/>
      <c r="C1" s="512"/>
      <c r="D1" s="512"/>
      <c r="E1" s="512"/>
      <c r="F1" s="512"/>
      <c r="G1" s="512"/>
      <c r="H1" s="512"/>
      <c r="I1" s="512"/>
      <c r="J1" s="512"/>
      <c r="K1" s="512"/>
      <c r="L1" s="512"/>
      <c r="M1" s="512"/>
      <c r="N1" s="512"/>
      <c r="O1" s="512"/>
      <c r="P1" s="512"/>
      <c r="Q1" s="512"/>
    </row>
    <row r="2" spans="1:17" ht="13.15" customHeight="1">
      <c r="A2" s="151"/>
      <c r="B2" s="151"/>
      <c r="C2" s="151"/>
      <c r="D2" s="151"/>
      <c r="E2" s="151"/>
      <c r="F2" s="151"/>
      <c r="G2" s="151"/>
      <c r="H2" s="151"/>
      <c r="I2" s="151"/>
      <c r="J2" s="151"/>
      <c r="K2" s="151"/>
      <c r="L2" s="151"/>
      <c r="M2" s="151"/>
      <c r="N2" s="151"/>
      <c r="O2" s="151"/>
      <c r="P2" s="151"/>
      <c r="Q2" s="151"/>
    </row>
    <row r="3" spans="1:17" ht="13.15" customHeight="1">
      <c r="A3" s="152"/>
      <c r="B3" s="513" t="s">
        <v>347</v>
      </c>
      <c r="C3" s="513"/>
      <c r="D3" s="513"/>
      <c r="E3" s="513"/>
      <c r="F3" s="513"/>
      <c r="G3" s="513"/>
      <c r="H3" s="513"/>
      <c r="I3" s="513"/>
      <c r="J3" s="513"/>
      <c r="K3" s="513"/>
      <c r="L3" s="513"/>
      <c r="M3" s="513"/>
      <c r="N3" s="513"/>
      <c r="O3" s="513"/>
      <c r="P3" s="513"/>
      <c r="Q3" s="513"/>
    </row>
    <row r="4" spans="1:17" ht="13.15" customHeight="1">
      <c r="A4" s="11" t="s">
        <v>19</v>
      </c>
      <c r="B4" s="407" t="s">
        <v>435</v>
      </c>
      <c r="C4" s="407" t="s">
        <v>436</v>
      </c>
      <c r="D4" s="407" t="s">
        <v>437</v>
      </c>
      <c r="E4" s="407" t="s">
        <v>438</v>
      </c>
      <c r="F4" s="407" t="s">
        <v>439</v>
      </c>
      <c r="G4" s="407" t="s">
        <v>440</v>
      </c>
      <c r="H4" s="407" t="s">
        <v>441</v>
      </c>
      <c r="I4" s="407" t="s">
        <v>442</v>
      </c>
      <c r="J4" s="407" t="s">
        <v>443</v>
      </c>
      <c r="K4" s="407" t="s">
        <v>444</v>
      </c>
      <c r="L4" s="407" t="s">
        <v>445</v>
      </c>
      <c r="M4" s="407" t="s">
        <v>446</v>
      </c>
      <c r="N4" s="407" t="s">
        <v>447</v>
      </c>
      <c r="O4" s="407" t="s">
        <v>448</v>
      </c>
      <c r="P4" s="407" t="s">
        <v>449</v>
      </c>
      <c r="Q4" s="407" t="s">
        <v>450</v>
      </c>
    </row>
    <row r="5" spans="1:17" s="318" customFormat="1" ht="13.15" customHeight="1">
      <c r="A5" s="12">
        <v>1993</v>
      </c>
      <c r="B5" s="407"/>
      <c r="C5" s="407"/>
      <c r="D5" s="407"/>
      <c r="E5" s="407"/>
      <c r="F5" s="407"/>
      <c r="G5" s="407"/>
      <c r="H5" s="407"/>
      <c r="I5" s="407"/>
      <c r="J5" s="407"/>
      <c r="K5" s="407"/>
      <c r="L5" s="407"/>
      <c r="M5" s="407"/>
      <c r="N5" s="407"/>
      <c r="O5" s="407"/>
      <c r="P5" s="407"/>
      <c r="Q5" s="408">
        <v>1.008</v>
      </c>
    </row>
    <row r="6" spans="1:17" ht="13.15" customHeight="1">
      <c r="A6" s="12">
        <v>1994</v>
      </c>
      <c r="B6" s="408" t="s">
        <v>36</v>
      </c>
      <c r="C6" s="408" t="s">
        <v>36</v>
      </c>
      <c r="D6" s="408" t="s">
        <v>36</v>
      </c>
      <c r="E6" s="408" t="s">
        <v>36</v>
      </c>
      <c r="F6" s="408" t="s">
        <v>36</v>
      </c>
      <c r="G6" s="408" t="s">
        <v>36</v>
      </c>
      <c r="H6" s="408" t="s">
        <v>36</v>
      </c>
      <c r="I6" s="408">
        <v>1.0329999999999999</v>
      </c>
      <c r="J6" s="408">
        <v>1.0269999999999999</v>
      </c>
      <c r="K6" s="408">
        <v>1.02</v>
      </c>
      <c r="L6" s="408">
        <v>1.0169999999999999</v>
      </c>
      <c r="M6" s="408">
        <v>1.0129999999999999</v>
      </c>
      <c r="N6" s="408">
        <v>1.006</v>
      </c>
      <c r="O6" s="408">
        <v>1.008</v>
      </c>
      <c r="P6" s="408">
        <v>1.0209999999999999</v>
      </c>
      <c r="Q6" s="408">
        <v>1.0109999999999999</v>
      </c>
    </row>
    <row r="7" spans="1:17" ht="13.15" customHeight="1">
      <c r="A7" s="12">
        <v>1995</v>
      </c>
      <c r="B7" s="408" t="s">
        <v>36</v>
      </c>
      <c r="C7" s="408" t="s">
        <v>36</v>
      </c>
      <c r="D7" s="408" t="s">
        <v>36</v>
      </c>
      <c r="E7" s="408" t="s">
        <v>36</v>
      </c>
      <c r="F7" s="408" t="s">
        <v>36</v>
      </c>
      <c r="G7" s="408" t="s">
        <v>36</v>
      </c>
      <c r="H7" s="408">
        <v>1.0329999999999999</v>
      </c>
      <c r="I7" s="408">
        <v>1.042</v>
      </c>
      <c r="J7" s="408">
        <v>1.0229999999999999</v>
      </c>
      <c r="K7" s="408">
        <v>1.0189999999999999</v>
      </c>
      <c r="L7" s="408">
        <v>1.0109999999999999</v>
      </c>
      <c r="M7" s="408">
        <v>1.02</v>
      </c>
      <c r="N7" s="408">
        <v>1.0269999999999999</v>
      </c>
      <c r="O7" s="408">
        <v>1.016</v>
      </c>
      <c r="P7" s="408">
        <v>1.0049999999999999</v>
      </c>
      <c r="Q7" s="408">
        <v>1.01</v>
      </c>
    </row>
    <row r="8" spans="1:17" ht="13.15" customHeight="1">
      <c r="A8" s="12">
        <v>1996</v>
      </c>
      <c r="B8" s="408" t="s">
        <v>36</v>
      </c>
      <c r="C8" s="408" t="s">
        <v>36</v>
      </c>
      <c r="D8" s="408" t="s">
        <v>36</v>
      </c>
      <c r="E8" s="408" t="s">
        <v>36</v>
      </c>
      <c r="F8" s="408" t="s">
        <v>36</v>
      </c>
      <c r="G8" s="408">
        <v>1.0429999999999999</v>
      </c>
      <c r="H8" s="408">
        <v>1.0549999999999999</v>
      </c>
      <c r="I8" s="408">
        <v>1.024</v>
      </c>
      <c r="J8" s="408">
        <v>1.0129999999999999</v>
      </c>
      <c r="K8" s="408">
        <v>1.0209999999999999</v>
      </c>
      <c r="L8" s="408">
        <v>1.0169999999999999</v>
      </c>
      <c r="M8" s="408">
        <v>1.02</v>
      </c>
      <c r="N8" s="408">
        <v>1.0149999999999999</v>
      </c>
      <c r="O8" s="408">
        <v>1.0129999999999999</v>
      </c>
      <c r="P8" s="408">
        <v>1.012</v>
      </c>
      <c r="Q8" s="408">
        <v>1.008</v>
      </c>
    </row>
    <row r="9" spans="1:17" ht="13.15" customHeight="1">
      <c r="A9" s="12">
        <v>1997</v>
      </c>
      <c r="B9" s="408" t="s">
        <v>36</v>
      </c>
      <c r="C9" s="408" t="s">
        <v>36</v>
      </c>
      <c r="D9" s="408" t="s">
        <v>36</v>
      </c>
      <c r="E9" s="408" t="s">
        <v>36</v>
      </c>
      <c r="F9" s="408">
        <v>1.0649999999999999</v>
      </c>
      <c r="G9" s="408">
        <v>1.0669999999999999</v>
      </c>
      <c r="H9" s="408">
        <v>1.038</v>
      </c>
      <c r="I9" s="408">
        <v>1.018</v>
      </c>
      <c r="J9" s="408">
        <v>1.0149999999999999</v>
      </c>
      <c r="K9" s="408">
        <v>1.024</v>
      </c>
      <c r="L9" s="408">
        <v>1.0229999999999999</v>
      </c>
      <c r="M9" s="408">
        <v>1.018</v>
      </c>
      <c r="N9" s="408">
        <v>1.0089999999999999</v>
      </c>
      <c r="O9" s="408">
        <v>1.01</v>
      </c>
      <c r="P9" s="408">
        <v>1.0049999999999999</v>
      </c>
      <c r="Q9" s="408">
        <v>1.004</v>
      </c>
    </row>
    <row r="10" spans="1:17" ht="13.15" customHeight="1">
      <c r="A10" s="12">
        <v>1998</v>
      </c>
      <c r="B10" s="408" t="s">
        <v>36</v>
      </c>
      <c r="C10" s="408" t="s">
        <v>36</v>
      </c>
      <c r="D10" s="408" t="s">
        <v>36</v>
      </c>
      <c r="E10" s="408">
        <v>1.0920000000000001</v>
      </c>
      <c r="F10" s="408">
        <v>1.0860000000000001</v>
      </c>
      <c r="G10" s="408">
        <v>1.032</v>
      </c>
      <c r="H10" s="408">
        <v>1.022</v>
      </c>
      <c r="I10" s="408">
        <v>1.022</v>
      </c>
      <c r="J10" s="408">
        <v>1.0349999999999999</v>
      </c>
      <c r="K10" s="408">
        <v>1.0209999999999999</v>
      </c>
      <c r="L10" s="408">
        <v>1.02</v>
      </c>
      <c r="M10" s="408">
        <v>1.01</v>
      </c>
      <c r="N10" s="408">
        <v>1.01</v>
      </c>
      <c r="O10" s="408">
        <v>1.0129999999999999</v>
      </c>
      <c r="P10" s="408">
        <v>1.0069999999999999</v>
      </c>
      <c r="Q10" s="408">
        <v>1.012</v>
      </c>
    </row>
    <row r="11" spans="1:17" ht="13.15" customHeight="1">
      <c r="A11" s="12">
        <v>1999</v>
      </c>
      <c r="B11" s="408" t="s">
        <v>36</v>
      </c>
      <c r="C11" s="408" t="s">
        <v>36</v>
      </c>
      <c r="D11" s="408">
        <v>1.113</v>
      </c>
      <c r="E11" s="408">
        <v>1.0980000000000001</v>
      </c>
      <c r="F11" s="408">
        <v>1.0469999999999999</v>
      </c>
      <c r="G11" s="408">
        <v>1.032</v>
      </c>
      <c r="H11" s="408">
        <v>1.0249999999999999</v>
      </c>
      <c r="I11" s="408">
        <v>1.0349999999999999</v>
      </c>
      <c r="J11" s="408">
        <v>1.028</v>
      </c>
      <c r="K11" s="408">
        <v>1.018</v>
      </c>
      <c r="L11" s="408">
        <v>1.0169999999999999</v>
      </c>
      <c r="M11" s="408">
        <v>1.014</v>
      </c>
      <c r="N11" s="408">
        <v>1.0089999999999999</v>
      </c>
      <c r="O11" s="408">
        <v>1.012</v>
      </c>
      <c r="P11" s="408">
        <v>1.0029999999999999</v>
      </c>
      <c r="Q11" s="408">
        <v>1</v>
      </c>
    </row>
    <row r="12" spans="1:17" ht="13.15" customHeight="1">
      <c r="A12" s="12">
        <v>2000</v>
      </c>
      <c r="B12" s="408" t="s">
        <v>36</v>
      </c>
      <c r="C12" s="408">
        <v>1.1870000000000001</v>
      </c>
      <c r="D12" s="408">
        <v>1.125</v>
      </c>
      <c r="E12" s="408">
        <v>1.0609999999999999</v>
      </c>
      <c r="F12" s="408">
        <v>1.03</v>
      </c>
      <c r="G12" s="408">
        <v>1.0309999999999999</v>
      </c>
      <c r="H12" s="408">
        <v>1.0409999999999999</v>
      </c>
      <c r="I12" s="408">
        <v>1.022</v>
      </c>
      <c r="J12" s="408">
        <v>1.0189999999999999</v>
      </c>
      <c r="K12" s="408">
        <v>1.022</v>
      </c>
      <c r="L12" s="408">
        <v>1.016</v>
      </c>
      <c r="M12" s="408">
        <v>1.0169999999999999</v>
      </c>
      <c r="N12" s="408">
        <v>1.012</v>
      </c>
      <c r="O12" s="408">
        <v>1.0049999999999999</v>
      </c>
      <c r="P12" s="408">
        <v>0.998</v>
      </c>
      <c r="Q12" s="408">
        <v>0.995</v>
      </c>
    </row>
    <row r="13" spans="1:17" ht="13.15" customHeight="1">
      <c r="A13" s="12">
        <v>2001</v>
      </c>
      <c r="B13" s="408">
        <v>1.4890000000000001</v>
      </c>
      <c r="C13" s="408">
        <v>1.2250000000000001</v>
      </c>
      <c r="D13" s="408">
        <v>1.083</v>
      </c>
      <c r="E13" s="408">
        <v>1.0449999999999999</v>
      </c>
      <c r="F13" s="408">
        <v>1.038</v>
      </c>
      <c r="G13" s="408">
        <v>1.0449999999999999</v>
      </c>
      <c r="H13" s="408">
        <v>1.0389999999999999</v>
      </c>
      <c r="I13" s="408">
        <v>1.0349999999999999</v>
      </c>
      <c r="J13" s="408">
        <v>1.03</v>
      </c>
      <c r="K13" s="408">
        <v>1.02</v>
      </c>
      <c r="L13" s="408">
        <v>1.018</v>
      </c>
      <c r="M13" s="408">
        <v>1.018</v>
      </c>
      <c r="N13" s="408">
        <v>1.006</v>
      </c>
      <c r="O13" s="408">
        <v>0.998</v>
      </c>
      <c r="P13" s="408">
        <v>0.999</v>
      </c>
      <c r="Q13" s="408">
        <v>0.996</v>
      </c>
    </row>
    <row r="14" spans="1:17" ht="13.15" customHeight="1">
      <c r="A14" s="12">
        <v>2002</v>
      </c>
      <c r="B14" s="408">
        <v>1.5029999999999999</v>
      </c>
      <c r="C14" s="408">
        <v>1.1399999999999999</v>
      </c>
      <c r="D14" s="408">
        <v>1.05</v>
      </c>
      <c r="E14" s="408">
        <v>1.0389999999999999</v>
      </c>
      <c r="F14" s="408">
        <v>1.056</v>
      </c>
      <c r="G14" s="408">
        <v>1.038</v>
      </c>
      <c r="H14" s="408">
        <v>1.034</v>
      </c>
      <c r="I14" s="408">
        <v>1.028</v>
      </c>
      <c r="J14" s="408">
        <v>1.0269999999999999</v>
      </c>
      <c r="K14" s="408">
        <v>1.02</v>
      </c>
      <c r="L14" s="408">
        <v>1.0129999999999999</v>
      </c>
      <c r="M14" s="408">
        <v>1.0069999999999999</v>
      </c>
      <c r="N14" s="408">
        <v>0.998</v>
      </c>
      <c r="O14" s="408">
        <v>0.999</v>
      </c>
      <c r="P14" s="408">
        <v>0.999</v>
      </c>
      <c r="Q14" s="408">
        <v>0.999</v>
      </c>
    </row>
    <row r="15" spans="1:17" ht="13.15" customHeight="1">
      <c r="A15" s="12">
        <v>2003</v>
      </c>
      <c r="B15" s="408">
        <v>1.3620000000000001</v>
      </c>
      <c r="C15" s="408">
        <v>1.087</v>
      </c>
      <c r="D15" s="408">
        <v>1.06</v>
      </c>
      <c r="E15" s="408">
        <v>1.06</v>
      </c>
      <c r="F15" s="408">
        <v>1.0509999999999999</v>
      </c>
      <c r="G15" s="408">
        <v>1.0429999999999999</v>
      </c>
      <c r="H15" s="408">
        <v>1.04</v>
      </c>
      <c r="I15" s="408">
        <v>1.036</v>
      </c>
      <c r="J15" s="408">
        <v>1.0249999999999999</v>
      </c>
      <c r="K15" s="408">
        <v>1.0189999999999999</v>
      </c>
      <c r="L15" s="408">
        <v>1.0089999999999999</v>
      </c>
      <c r="M15" s="408">
        <v>1.0009999999999999</v>
      </c>
      <c r="N15" s="408">
        <v>0.999</v>
      </c>
      <c r="O15" s="408">
        <v>1</v>
      </c>
      <c r="P15" s="408">
        <v>1.0009999999999999</v>
      </c>
      <c r="Q15" s="408" t="s">
        <v>36</v>
      </c>
    </row>
    <row r="16" spans="1:17" ht="13.15" customHeight="1">
      <c r="A16" s="12">
        <v>2004</v>
      </c>
      <c r="B16" s="408">
        <v>1.2350000000000001</v>
      </c>
      <c r="C16" s="408">
        <v>1.1299999999999999</v>
      </c>
      <c r="D16" s="408">
        <v>1.0940000000000001</v>
      </c>
      <c r="E16" s="408">
        <v>1.0780000000000001</v>
      </c>
      <c r="F16" s="408">
        <v>1.056</v>
      </c>
      <c r="G16" s="408">
        <v>1.0620000000000001</v>
      </c>
      <c r="H16" s="408">
        <v>1.038</v>
      </c>
      <c r="I16" s="408">
        <v>1.032</v>
      </c>
      <c r="J16" s="408">
        <v>1.026</v>
      </c>
      <c r="K16" s="408">
        <v>1.008</v>
      </c>
      <c r="L16" s="408">
        <v>1.004</v>
      </c>
      <c r="M16" s="408">
        <v>0.999</v>
      </c>
      <c r="N16" s="408">
        <v>0.998</v>
      </c>
      <c r="O16" s="408">
        <v>0.999</v>
      </c>
      <c r="P16" s="408" t="s">
        <v>36</v>
      </c>
      <c r="Q16" s="408" t="s">
        <v>36</v>
      </c>
    </row>
    <row r="17" spans="1:255" ht="13.15" customHeight="1">
      <c r="A17" s="12">
        <v>2005</v>
      </c>
      <c r="B17" s="408">
        <v>1.2749999999999999</v>
      </c>
      <c r="C17" s="408">
        <v>1.141</v>
      </c>
      <c r="D17" s="408">
        <v>1.077</v>
      </c>
      <c r="E17" s="408">
        <v>1.08</v>
      </c>
      <c r="F17" s="408">
        <v>1.0740000000000001</v>
      </c>
      <c r="G17" s="408">
        <v>1.0569999999999999</v>
      </c>
      <c r="H17" s="408">
        <v>1.04</v>
      </c>
      <c r="I17" s="408">
        <v>1.0269999999999999</v>
      </c>
      <c r="J17" s="408">
        <v>1.018</v>
      </c>
      <c r="K17" s="408">
        <v>1.0049999999999999</v>
      </c>
      <c r="L17" s="408">
        <v>1.0029999999999999</v>
      </c>
      <c r="M17" s="408">
        <v>1.0029999999999999</v>
      </c>
      <c r="N17" s="408">
        <v>0.998</v>
      </c>
      <c r="O17" s="408" t="s">
        <v>36</v>
      </c>
      <c r="P17" s="408" t="s">
        <v>36</v>
      </c>
      <c r="Q17" s="408" t="s">
        <v>36</v>
      </c>
    </row>
    <row r="18" spans="1:255" ht="13.15" customHeight="1">
      <c r="A18" s="12">
        <v>2006</v>
      </c>
      <c r="B18" s="408">
        <v>1.333</v>
      </c>
      <c r="C18" s="408">
        <v>1.1639999999999999</v>
      </c>
      <c r="D18" s="408">
        <v>1.095</v>
      </c>
      <c r="E18" s="408">
        <v>1.0760000000000001</v>
      </c>
      <c r="F18" s="408">
        <v>1.0609999999999999</v>
      </c>
      <c r="G18" s="408">
        <v>1.0489999999999999</v>
      </c>
      <c r="H18" s="408">
        <v>1.0369999999999999</v>
      </c>
      <c r="I18" s="408">
        <v>1.018</v>
      </c>
      <c r="J18" s="408">
        <v>1.0069999999999999</v>
      </c>
      <c r="K18" s="408">
        <v>1.0029999999999999</v>
      </c>
      <c r="L18" s="408">
        <v>1.002</v>
      </c>
      <c r="M18" s="408">
        <v>1.0029999999999999</v>
      </c>
      <c r="N18" s="408" t="s">
        <v>36</v>
      </c>
      <c r="O18" s="408" t="s">
        <v>36</v>
      </c>
      <c r="P18" s="408" t="s">
        <v>36</v>
      </c>
      <c r="Q18" s="408" t="s">
        <v>36</v>
      </c>
    </row>
    <row r="19" spans="1:255" ht="13.15" customHeight="1">
      <c r="A19" s="12">
        <v>2007</v>
      </c>
      <c r="B19" s="408">
        <v>1.357</v>
      </c>
      <c r="C19" s="408">
        <v>1.171</v>
      </c>
      <c r="D19" s="408">
        <v>1.1140000000000001</v>
      </c>
      <c r="E19" s="408">
        <v>1.0780000000000001</v>
      </c>
      <c r="F19" s="408">
        <v>1.069</v>
      </c>
      <c r="G19" s="408">
        <v>1.0409999999999999</v>
      </c>
      <c r="H19" s="408">
        <v>1.028</v>
      </c>
      <c r="I19" s="408">
        <v>1.0149999999999999</v>
      </c>
      <c r="J19" s="408">
        <v>1.0049999999999999</v>
      </c>
      <c r="K19" s="408">
        <v>1.004</v>
      </c>
      <c r="L19" s="408">
        <v>1.0029999999999999</v>
      </c>
      <c r="M19" s="408" t="s">
        <v>36</v>
      </c>
      <c r="N19" s="408" t="s">
        <v>36</v>
      </c>
      <c r="O19" s="408" t="s">
        <v>36</v>
      </c>
      <c r="P19" s="408" t="s">
        <v>36</v>
      </c>
      <c r="Q19" s="408" t="s">
        <v>36</v>
      </c>
    </row>
    <row r="20" spans="1:255" ht="13.15" customHeight="1">
      <c r="A20" s="12">
        <v>2008</v>
      </c>
      <c r="B20" s="408">
        <v>1.3779999999999999</v>
      </c>
      <c r="C20" s="408">
        <v>1.1890000000000001</v>
      </c>
      <c r="D20" s="408">
        <v>1.1160000000000001</v>
      </c>
      <c r="E20" s="408">
        <v>1.087</v>
      </c>
      <c r="F20" s="408">
        <v>1.0580000000000001</v>
      </c>
      <c r="G20" s="408">
        <v>1.0349999999999999</v>
      </c>
      <c r="H20" s="408">
        <v>1.02</v>
      </c>
      <c r="I20" s="408">
        <v>1.0089999999999999</v>
      </c>
      <c r="J20" s="408">
        <v>1.004</v>
      </c>
      <c r="K20" s="408">
        <v>1.002</v>
      </c>
      <c r="L20" s="408" t="s">
        <v>36</v>
      </c>
      <c r="M20" s="408" t="s">
        <v>36</v>
      </c>
      <c r="N20" s="408" t="s">
        <v>36</v>
      </c>
      <c r="O20" s="408" t="s">
        <v>36</v>
      </c>
      <c r="P20" s="408" t="s">
        <v>36</v>
      </c>
      <c r="Q20" s="408" t="s">
        <v>36</v>
      </c>
    </row>
    <row r="21" spans="1:255" ht="13.15" customHeight="1">
      <c r="A21" s="12">
        <v>2009</v>
      </c>
      <c r="B21" s="408">
        <v>1.431</v>
      </c>
      <c r="C21" s="408">
        <v>1.1819999999999999</v>
      </c>
      <c r="D21" s="408">
        <v>1.133</v>
      </c>
      <c r="E21" s="408">
        <v>1.08</v>
      </c>
      <c r="F21" s="408">
        <v>1.0489999999999999</v>
      </c>
      <c r="G21" s="408">
        <v>1.0249999999999999</v>
      </c>
      <c r="H21" s="408">
        <v>1.014</v>
      </c>
      <c r="I21" s="408">
        <v>1.006</v>
      </c>
      <c r="J21" s="408">
        <v>1.004</v>
      </c>
      <c r="K21" s="408" t="s">
        <v>36</v>
      </c>
      <c r="L21" s="408" t="s">
        <v>36</v>
      </c>
      <c r="M21" s="408" t="s">
        <v>36</v>
      </c>
      <c r="N21" s="408" t="s">
        <v>36</v>
      </c>
      <c r="O21" s="408" t="s">
        <v>36</v>
      </c>
      <c r="P21" s="408" t="s">
        <v>36</v>
      </c>
      <c r="Q21" s="408" t="s">
        <v>36</v>
      </c>
    </row>
    <row r="22" spans="1:255" ht="13.15" customHeight="1">
      <c r="A22" s="12">
        <v>2010</v>
      </c>
      <c r="B22" s="408">
        <v>1.431</v>
      </c>
      <c r="C22" s="408">
        <v>1.212</v>
      </c>
      <c r="D22" s="408">
        <v>1.117</v>
      </c>
      <c r="E22" s="408">
        <v>1.0680000000000001</v>
      </c>
      <c r="F22" s="408">
        <v>1.036</v>
      </c>
      <c r="G22" s="408">
        <v>1.0229999999999999</v>
      </c>
      <c r="H22" s="408">
        <v>1.0109999999999999</v>
      </c>
      <c r="I22" s="408">
        <v>1.01</v>
      </c>
      <c r="J22" s="408" t="s">
        <v>36</v>
      </c>
      <c r="K22" s="408" t="s">
        <v>36</v>
      </c>
      <c r="L22" s="408" t="s">
        <v>36</v>
      </c>
      <c r="M22" s="408" t="s">
        <v>36</v>
      </c>
      <c r="N22" s="408" t="s">
        <v>36</v>
      </c>
      <c r="O22" s="408" t="s">
        <v>36</v>
      </c>
      <c r="P22" s="408" t="s">
        <v>36</v>
      </c>
      <c r="Q22" s="408" t="s">
        <v>36</v>
      </c>
    </row>
    <row r="23" spans="1:255" ht="13.15" customHeight="1">
      <c r="A23" s="12">
        <v>2011</v>
      </c>
      <c r="B23" s="408">
        <v>1.452</v>
      </c>
      <c r="C23" s="408">
        <v>1.1850000000000001</v>
      </c>
      <c r="D23" s="408">
        <v>1.103</v>
      </c>
      <c r="E23" s="408">
        <v>1.0589999999999999</v>
      </c>
      <c r="F23" s="408">
        <v>1.026</v>
      </c>
      <c r="G23" s="408">
        <v>1.016</v>
      </c>
      <c r="H23" s="408">
        <v>1.008</v>
      </c>
      <c r="I23" s="408" t="s">
        <v>36</v>
      </c>
      <c r="J23" s="408" t="s">
        <v>36</v>
      </c>
      <c r="K23" s="408" t="s">
        <v>36</v>
      </c>
      <c r="L23" s="408" t="s">
        <v>36</v>
      </c>
      <c r="M23" s="408" t="s">
        <v>36</v>
      </c>
      <c r="N23" s="408" t="s">
        <v>36</v>
      </c>
      <c r="O23" s="408" t="s">
        <v>36</v>
      </c>
      <c r="P23" s="408" t="s">
        <v>36</v>
      </c>
      <c r="Q23" s="408" t="s">
        <v>36</v>
      </c>
    </row>
    <row r="24" spans="1:255" ht="13.15" customHeight="1">
      <c r="A24" s="12">
        <v>2012</v>
      </c>
      <c r="B24" s="408">
        <v>1.391</v>
      </c>
      <c r="C24" s="408">
        <v>1.153</v>
      </c>
      <c r="D24" s="408">
        <v>1.0780000000000001</v>
      </c>
      <c r="E24" s="408">
        <v>1.0509999999999999</v>
      </c>
      <c r="F24" s="408">
        <v>1.0249999999999999</v>
      </c>
      <c r="G24" s="408">
        <v>1.014</v>
      </c>
      <c r="H24" s="408" t="s">
        <v>36</v>
      </c>
      <c r="I24" s="408" t="s">
        <v>36</v>
      </c>
      <c r="J24" s="408" t="s">
        <v>36</v>
      </c>
      <c r="K24" s="408" t="s">
        <v>36</v>
      </c>
      <c r="L24" s="408" t="s">
        <v>36</v>
      </c>
      <c r="M24" s="408" t="s">
        <v>36</v>
      </c>
      <c r="N24" s="408" t="s">
        <v>36</v>
      </c>
      <c r="O24" s="408" t="s">
        <v>36</v>
      </c>
      <c r="P24" s="408" t="s">
        <v>36</v>
      </c>
      <c r="Q24" s="408" t="s">
        <v>36</v>
      </c>
    </row>
    <row r="25" spans="1:255" ht="13.15" customHeight="1">
      <c r="A25" s="12">
        <v>2013</v>
      </c>
      <c r="B25" s="408">
        <v>1.353</v>
      </c>
      <c r="C25" s="408">
        <v>1.119</v>
      </c>
      <c r="D25" s="408">
        <v>1.077</v>
      </c>
      <c r="E25" s="408">
        <v>1.0309999999999999</v>
      </c>
      <c r="F25" s="408">
        <v>1.0229999999999999</v>
      </c>
      <c r="G25" s="408" t="s">
        <v>36</v>
      </c>
      <c r="H25" s="408" t="s">
        <v>36</v>
      </c>
      <c r="I25" s="408" t="s">
        <v>36</v>
      </c>
      <c r="J25" s="408" t="s">
        <v>36</v>
      </c>
      <c r="K25" s="408" t="s">
        <v>36</v>
      </c>
      <c r="L25" s="408" t="s">
        <v>36</v>
      </c>
      <c r="M25" s="408" t="s">
        <v>36</v>
      </c>
      <c r="N25" s="408" t="s">
        <v>36</v>
      </c>
      <c r="O25" s="408" t="s">
        <v>36</v>
      </c>
      <c r="P25" s="408" t="s">
        <v>36</v>
      </c>
      <c r="Q25" s="408" t="s">
        <v>36</v>
      </c>
    </row>
    <row r="26" spans="1:255" ht="13.15" customHeight="1">
      <c r="A26" s="12">
        <v>2014</v>
      </c>
      <c r="B26" s="408">
        <v>1.325</v>
      </c>
      <c r="C26" s="408">
        <v>1.135</v>
      </c>
      <c r="D26" s="408">
        <v>1.0640000000000001</v>
      </c>
      <c r="E26" s="408">
        <v>1.0329999999999999</v>
      </c>
      <c r="F26" s="408" t="s">
        <v>36</v>
      </c>
      <c r="G26" s="408" t="s">
        <v>36</v>
      </c>
      <c r="H26" s="408" t="s">
        <v>36</v>
      </c>
      <c r="I26" s="408" t="s">
        <v>36</v>
      </c>
      <c r="J26" s="408" t="s">
        <v>36</v>
      </c>
      <c r="K26" s="408" t="s">
        <v>36</v>
      </c>
      <c r="L26" s="408" t="s">
        <v>36</v>
      </c>
      <c r="M26" s="408" t="s">
        <v>36</v>
      </c>
      <c r="N26" s="408" t="s">
        <v>36</v>
      </c>
      <c r="O26" s="408" t="s">
        <v>36</v>
      </c>
      <c r="P26" s="408" t="s">
        <v>36</v>
      </c>
      <c r="Q26" s="408" t="s">
        <v>36</v>
      </c>
    </row>
    <row r="27" spans="1:255" ht="13.15" customHeight="1">
      <c r="A27" s="12">
        <v>2015</v>
      </c>
      <c r="B27" s="408">
        <v>1.3129999999999999</v>
      </c>
      <c r="C27" s="408">
        <v>1.117</v>
      </c>
      <c r="D27" s="408">
        <v>1.05</v>
      </c>
      <c r="E27" s="408" t="s">
        <v>36</v>
      </c>
      <c r="F27" s="408" t="s">
        <v>36</v>
      </c>
      <c r="G27" s="408" t="s">
        <v>36</v>
      </c>
      <c r="H27" s="408" t="s">
        <v>36</v>
      </c>
      <c r="I27" s="408" t="s">
        <v>36</v>
      </c>
      <c r="J27" s="408" t="s">
        <v>36</v>
      </c>
      <c r="K27" s="408" t="s">
        <v>36</v>
      </c>
      <c r="L27" s="408" t="s">
        <v>36</v>
      </c>
      <c r="M27" s="408" t="s">
        <v>36</v>
      </c>
      <c r="N27" s="408" t="s">
        <v>36</v>
      </c>
      <c r="O27" s="408" t="s">
        <v>36</v>
      </c>
      <c r="P27" s="408" t="s">
        <v>36</v>
      </c>
      <c r="Q27" s="408" t="s">
        <v>36</v>
      </c>
    </row>
    <row r="28" spans="1:255" ht="13.15" customHeight="1">
      <c r="A28" s="12">
        <v>2016</v>
      </c>
      <c r="B28" s="408">
        <v>1.2869999999999999</v>
      </c>
      <c r="C28" s="408">
        <v>1.093</v>
      </c>
      <c r="D28" s="408" t="s">
        <v>36</v>
      </c>
      <c r="E28" s="408" t="s">
        <v>36</v>
      </c>
      <c r="F28" s="408" t="s">
        <v>36</v>
      </c>
      <c r="G28" s="408" t="s">
        <v>36</v>
      </c>
      <c r="H28" s="408" t="s">
        <v>36</v>
      </c>
      <c r="I28" s="408" t="s">
        <v>36</v>
      </c>
      <c r="J28" s="408" t="s">
        <v>36</v>
      </c>
      <c r="K28" s="408" t="s">
        <v>36</v>
      </c>
      <c r="L28" s="408" t="s">
        <v>36</v>
      </c>
      <c r="M28" s="408" t="s">
        <v>36</v>
      </c>
      <c r="N28" s="408" t="s">
        <v>36</v>
      </c>
      <c r="O28" s="408" t="s">
        <v>36</v>
      </c>
      <c r="P28" s="408" t="s">
        <v>36</v>
      </c>
      <c r="Q28" s="408" t="s">
        <v>36</v>
      </c>
    </row>
    <row r="29" spans="1:255" ht="13.15" customHeight="1">
      <c r="A29" s="12">
        <v>2017</v>
      </c>
      <c r="B29" s="408">
        <v>1.26</v>
      </c>
      <c r="C29" s="408" t="s">
        <v>36</v>
      </c>
      <c r="D29" s="408" t="s">
        <v>36</v>
      </c>
      <c r="E29" s="408" t="s">
        <v>36</v>
      </c>
      <c r="F29" s="408" t="s">
        <v>36</v>
      </c>
      <c r="G29" s="408" t="s">
        <v>36</v>
      </c>
      <c r="H29" s="408" t="s">
        <v>36</v>
      </c>
      <c r="I29" s="408" t="s">
        <v>36</v>
      </c>
      <c r="J29" s="408" t="s">
        <v>36</v>
      </c>
      <c r="K29" s="408" t="s">
        <v>36</v>
      </c>
      <c r="L29" s="408" t="s">
        <v>36</v>
      </c>
      <c r="M29" s="408" t="s">
        <v>36</v>
      </c>
      <c r="N29" s="408" t="s">
        <v>36</v>
      </c>
      <c r="O29" s="408" t="s">
        <v>36</v>
      </c>
      <c r="P29" s="408" t="s">
        <v>36</v>
      </c>
      <c r="Q29" s="408" t="s">
        <v>36</v>
      </c>
    </row>
    <row r="30" spans="1:255" ht="13.15" customHeight="1">
      <c r="A30" s="12"/>
      <c r="B30" s="13"/>
      <c r="C30" s="13"/>
      <c r="D30" s="13"/>
      <c r="E30" s="13"/>
      <c r="F30" s="13"/>
      <c r="G30" s="13"/>
      <c r="H30" s="13"/>
      <c r="I30" s="13"/>
      <c r="J30" s="13"/>
      <c r="K30" s="13"/>
      <c r="L30" s="13"/>
      <c r="M30" s="13"/>
      <c r="N30" s="13"/>
      <c r="O30" s="13"/>
      <c r="P30" s="13"/>
      <c r="Q30" s="13"/>
    </row>
    <row r="31" spans="1:255" ht="13.15" customHeight="1">
      <c r="A31" s="12" t="s">
        <v>20</v>
      </c>
      <c r="B31" s="13">
        <f>+ROUND(B29,3)</f>
        <v>1.26</v>
      </c>
      <c r="C31" s="13">
        <f>+ROUND(C28,3)</f>
        <v>1.093</v>
      </c>
      <c r="D31" s="13">
        <f>ROUND(D27,3)</f>
        <v>1.05</v>
      </c>
      <c r="E31" s="13">
        <f>ROUND(E26,3)</f>
        <v>1.0329999999999999</v>
      </c>
      <c r="F31" s="13">
        <f>ROUND(F25,3)</f>
        <v>1.0229999999999999</v>
      </c>
      <c r="G31" s="13">
        <f>ROUND(G24,3)</f>
        <v>1.014</v>
      </c>
      <c r="H31" s="13">
        <f>ROUND(H23,3)</f>
        <v>1.008</v>
      </c>
      <c r="I31" s="13">
        <f>ROUND(I22,3)</f>
        <v>1.01</v>
      </c>
      <c r="J31" s="13">
        <f>AVERAGE(J16:J21)</f>
        <v>1.0106666666666666</v>
      </c>
      <c r="K31" s="13">
        <f>AVERAGE(K15:K20)</f>
        <v>1.0068333333333332</v>
      </c>
      <c r="L31" s="13">
        <f>AVERAGE(L14:L19)</f>
        <v>1.0056666666666667</v>
      </c>
      <c r="M31" s="13">
        <f>AVERAGE(M13:M18)</f>
        <v>1.0051666666666665</v>
      </c>
      <c r="N31" s="13">
        <f>AVERAGE(N12:N17)</f>
        <v>1.0018333333333334</v>
      </c>
      <c r="O31" s="13">
        <f>AVERAGE(O11:O16)</f>
        <v>1.0021666666666664</v>
      </c>
      <c r="P31" s="13">
        <f>AVERAGE(P10:P15)</f>
        <v>1.0011666666666665</v>
      </c>
      <c r="Q31" s="13">
        <f>AVERAGE(Q9:Q14)</f>
        <v>1.0009999999999999</v>
      </c>
      <c r="IU31" s="13"/>
    </row>
    <row r="32" spans="1:255" ht="13.15" customHeight="1">
      <c r="A32" s="12" t="s">
        <v>21</v>
      </c>
      <c r="B32" s="13">
        <f t="shared" ref="B32:O32" si="0">B31*C32</f>
        <v>1.685547331285562</v>
      </c>
      <c r="C32" s="13">
        <f t="shared" si="0"/>
        <v>1.3377359772107635</v>
      </c>
      <c r="D32" s="13">
        <f t="shared" si="0"/>
        <v>1.2239121474938368</v>
      </c>
      <c r="E32" s="13">
        <f t="shared" si="0"/>
        <v>1.1656306166607968</v>
      </c>
      <c r="F32" s="13">
        <f t="shared" si="0"/>
        <v>1.1283936269707617</v>
      </c>
      <c r="G32" s="13">
        <f t="shared" si="0"/>
        <v>1.1030240732852021</v>
      </c>
      <c r="H32" s="13">
        <f t="shared" si="0"/>
        <v>1.0877949440682466</v>
      </c>
      <c r="I32" s="13">
        <f t="shared" si="0"/>
        <v>1.0791616508613557</v>
      </c>
      <c r="J32" s="13">
        <f t="shared" si="0"/>
        <v>1.0684768820409463</v>
      </c>
      <c r="K32" s="13">
        <f t="shared" si="0"/>
        <v>1.0572000811750788</v>
      </c>
      <c r="L32" s="13">
        <f t="shared" si="0"/>
        <v>1.0500249109502522</v>
      </c>
      <c r="M32" s="13">
        <f t="shared" si="0"/>
        <v>1.0441082972657463</v>
      </c>
      <c r="N32" s="13">
        <f t="shared" si="0"/>
        <v>1.0387414663562391</v>
      </c>
      <c r="O32" s="13">
        <f t="shared" si="0"/>
        <v>1.0368405919376866</v>
      </c>
      <c r="P32" s="13">
        <f>P31*Q32</f>
        <v>1.0345989608558326</v>
      </c>
      <c r="Q32" s="13">
        <f>Q31*'Exhibit 2.2.2'!B27</f>
        <v>1.0333933352979852</v>
      </c>
    </row>
    <row r="33" spans="1:17" ht="13.15" customHeight="1">
      <c r="A33" s="152"/>
      <c r="B33" s="152"/>
      <c r="C33" s="152"/>
      <c r="D33" s="152"/>
      <c r="E33" s="152"/>
      <c r="F33" s="152"/>
      <c r="G33" s="152"/>
      <c r="H33" s="152"/>
      <c r="I33" s="152"/>
      <c r="J33" s="152"/>
      <c r="K33" s="152"/>
      <c r="L33" s="152"/>
      <c r="M33" s="152"/>
      <c r="N33" s="152"/>
      <c r="O33" s="152"/>
      <c r="P33" s="152"/>
    </row>
    <row r="34" spans="1:17" ht="13.15" customHeight="1">
      <c r="A34" s="17" t="s">
        <v>22</v>
      </c>
      <c r="B34" s="232" t="s">
        <v>424</v>
      </c>
      <c r="C34" s="229"/>
      <c r="D34" s="229"/>
      <c r="E34" s="229"/>
      <c r="F34" s="229"/>
      <c r="G34" s="229"/>
      <c r="H34" s="229"/>
      <c r="I34" s="229"/>
      <c r="J34" s="229"/>
      <c r="K34" s="229"/>
      <c r="L34" s="229"/>
      <c r="M34" s="229"/>
      <c r="N34" s="229"/>
      <c r="O34" s="229"/>
      <c r="P34" s="229"/>
    </row>
    <row r="35" spans="1:17">
      <c r="A35" s="17" t="s">
        <v>28</v>
      </c>
      <c r="B35" s="230" t="s">
        <v>340</v>
      </c>
      <c r="C35" s="231"/>
      <c r="D35" s="231"/>
      <c r="E35" s="231"/>
      <c r="F35" s="231"/>
      <c r="G35" s="231"/>
      <c r="H35" s="231"/>
      <c r="I35" s="231"/>
      <c r="J35" s="231"/>
      <c r="K35" s="231"/>
      <c r="L35" s="231"/>
      <c r="M35" s="231"/>
      <c r="N35" s="231"/>
      <c r="O35" s="231"/>
      <c r="P35" s="231"/>
    </row>
    <row r="36" spans="1:17">
      <c r="H36" s="165"/>
      <c r="I36" s="136"/>
      <c r="J36" s="202"/>
      <c r="K36" s="202"/>
      <c r="L36" s="202"/>
      <c r="M36" s="202"/>
      <c r="N36" s="202"/>
      <c r="O36" s="202"/>
      <c r="P36" s="202"/>
      <c r="Q36" s="202"/>
    </row>
    <row r="37" spans="1:17">
      <c r="G37" s="165"/>
      <c r="H37" s="165" t="s">
        <v>519</v>
      </c>
      <c r="I37" s="136"/>
      <c r="J37" s="202" t="str">
        <f t="shared" ref="J37:Q37" si="1">+J4</f>
        <v>123/111</v>
      </c>
      <c r="K37" s="202" t="str">
        <f t="shared" si="1"/>
        <v>135/123</v>
      </c>
      <c r="L37" s="202" t="str">
        <f t="shared" si="1"/>
        <v>147/135</v>
      </c>
      <c r="M37" s="202" t="str">
        <f t="shared" si="1"/>
        <v>159/147</v>
      </c>
      <c r="N37" s="202" t="str">
        <f t="shared" si="1"/>
        <v>171/159</v>
      </c>
      <c r="O37" s="202" t="str">
        <f t="shared" si="1"/>
        <v>183/171</v>
      </c>
      <c r="P37" s="202" t="str">
        <f t="shared" si="1"/>
        <v>195/183</v>
      </c>
      <c r="Q37" s="202" t="str">
        <f t="shared" si="1"/>
        <v>207/195</v>
      </c>
    </row>
    <row r="38" spans="1:17" ht="12.75" customHeight="1">
      <c r="G38" s="166"/>
      <c r="H38" s="166" t="s">
        <v>520</v>
      </c>
      <c r="I38" s="136"/>
      <c r="J38" s="201">
        <f>AVERAGE(J13:J18)</f>
        <v>1.0221666666666664</v>
      </c>
      <c r="K38" s="201">
        <f>AVERAGE(K12:K17)</f>
        <v>1.0156666666666665</v>
      </c>
      <c r="L38" s="201">
        <f>AVERAGE(L11:L16)</f>
        <v>1.0128333333333333</v>
      </c>
      <c r="M38" s="201">
        <f>AVERAGE(M10:M15)</f>
        <v>1.0111666666666668</v>
      </c>
      <c r="N38" s="201">
        <f>AVERAGE(N9:N14)</f>
        <v>1.0073333333333334</v>
      </c>
      <c r="O38" s="201">
        <f>AVERAGE(O8:O13)</f>
        <v>1.0085</v>
      </c>
      <c r="P38" s="201">
        <f>AVERAGE(P7:P12)</f>
        <v>1.0050000000000001</v>
      </c>
      <c r="Q38" s="201">
        <f>AVERAGE(Q6:Q11)</f>
        <v>1.0075000000000001</v>
      </c>
    </row>
    <row r="39" spans="1:17">
      <c r="Q39" s="19"/>
    </row>
    <row r="43" spans="1:17">
      <c r="P43" s="21"/>
    </row>
    <row r="44" spans="1:17">
      <c r="O44" s="21"/>
    </row>
    <row r="45" spans="1:17">
      <c r="N45" s="21"/>
    </row>
    <row r="46" spans="1:17">
      <c r="M46" s="21"/>
    </row>
    <row r="47" spans="1:17">
      <c r="L47" s="21"/>
    </row>
    <row r="48" spans="1:17">
      <c r="K48" s="21"/>
    </row>
    <row r="49" spans="9:17">
      <c r="J49" s="21"/>
    </row>
    <row r="50" spans="9:17">
      <c r="I50" s="21"/>
    </row>
    <row r="60" spans="9:17">
      <c r="Q60" s="13"/>
    </row>
    <row r="61" spans="9:17">
      <c r="Q61" s="11"/>
    </row>
    <row r="64" spans="9:17">
      <c r="Q64" s="12"/>
    </row>
    <row r="65" spans="2:17" ht="12.75" customHeight="1">
      <c r="Q65" s="153"/>
    </row>
    <row r="66" spans="2:17">
      <c r="B66" s="21"/>
      <c r="C66" s="21"/>
      <c r="D66" s="21"/>
      <c r="E66" s="21"/>
      <c r="F66" s="21"/>
      <c r="G66" s="21"/>
      <c r="H66" s="21"/>
      <c r="I66" s="21"/>
      <c r="J66" s="21"/>
      <c r="K66" s="21"/>
      <c r="L66" s="21"/>
      <c r="M66" s="21"/>
      <c r="N66" s="21"/>
      <c r="O66" s="21"/>
      <c r="P66" s="21"/>
    </row>
    <row r="67" spans="2:17">
      <c r="B67" s="21"/>
      <c r="C67" s="21"/>
      <c r="D67" s="21"/>
      <c r="E67" s="21"/>
      <c r="F67" s="21"/>
      <c r="G67" s="21"/>
      <c r="H67" s="21"/>
      <c r="I67" s="21"/>
      <c r="J67" s="21"/>
      <c r="K67" s="21"/>
      <c r="L67" s="21"/>
      <c r="M67" s="21"/>
      <c r="N67" s="21"/>
      <c r="O67" s="21"/>
      <c r="P67" s="21"/>
    </row>
    <row r="68" spans="2:17">
      <c r="B68" s="21"/>
      <c r="C68" s="21"/>
      <c r="D68" s="21"/>
      <c r="E68" s="21"/>
      <c r="F68" s="21"/>
      <c r="G68" s="21"/>
      <c r="H68" s="21"/>
      <c r="I68" s="21"/>
      <c r="J68" s="21"/>
      <c r="K68" s="21"/>
      <c r="L68" s="21"/>
      <c r="M68" s="21"/>
      <c r="N68" s="21"/>
      <c r="O68" s="21"/>
      <c r="P68" s="21"/>
    </row>
    <row r="69" spans="2:17">
      <c r="B69" s="21"/>
      <c r="C69" s="21"/>
      <c r="D69" s="21"/>
      <c r="E69" s="21"/>
      <c r="F69" s="21"/>
      <c r="G69" s="21"/>
      <c r="H69" s="21"/>
      <c r="I69" s="21"/>
      <c r="J69" s="21"/>
      <c r="K69" s="21"/>
      <c r="L69" s="21"/>
      <c r="M69" s="21"/>
      <c r="N69" s="21"/>
      <c r="O69" s="21"/>
      <c r="P69" s="21"/>
    </row>
    <row r="70" spans="2:17">
      <c r="B70" s="21"/>
      <c r="C70" s="21"/>
      <c r="D70" s="21"/>
      <c r="E70" s="21"/>
      <c r="F70" s="21"/>
      <c r="G70" s="21"/>
      <c r="H70" s="21"/>
      <c r="I70" s="21"/>
      <c r="J70" s="21"/>
      <c r="K70" s="21"/>
      <c r="L70" s="21"/>
      <c r="M70" s="21"/>
      <c r="N70" s="21"/>
      <c r="O70" s="21"/>
      <c r="P70" s="21"/>
    </row>
    <row r="71" spans="2:17">
      <c r="B71" s="21"/>
      <c r="C71" s="21"/>
      <c r="D71" s="21"/>
      <c r="E71" s="21"/>
      <c r="F71" s="21"/>
      <c r="G71" s="21"/>
      <c r="H71" s="21"/>
      <c r="I71" s="21"/>
      <c r="J71" s="21"/>
      <c r="K71" s="21"/>
      <c r="L71" s="21"/>
      <c r="M71" s="21"/>
      <c r="N71" s="21"/>
      <c r="O71" s="21"/>
      <c r="P71" s="21"/>
    </row>
    <row r="72" spans="2:17">
      <c r="B72" s="21"/>
      <c r="C72" s="21"/>
      <c r="D72" s="21"/>
      <c r="E72" s="21"/>
      <c r="F72" s="21"/>
      <c r="G72" s="21"/>
      <c r="H72" s="21"/>
      <c r="I72" s="21"/>
      <c r="J72" s="21"/>
      <c r="K72" s="21"/>
      <c r="L72" s="21"/>
      <c r="M72" s="21"/>
      <c r="N72" s="21"/>
      <c r="O72" s="21"/>
      <c r="P72" s="21"/>
    </row>
    <row r="73" spans="2:17">
      <c r="B73" s="21"/>
      <c r="C73" s="21"/>
      <c r="D73" s="21"/>
      <c r="E73" s="21"/>
      <c r="F73" s="21"/>
      <c r="G73" s="21"/>
      <c r="H73" s="21"/>
      <c r="I73" s="21"/>
      <c r="J73" s="21"/>
      <c r="K73" s="21"/>
      <c r="L73" s="21"/>
      <c r="M73" s="21"/>
      <c r="N73" s="21"/>
      <c r="O73" s="21"/>
      <c r="P73" s="21"/>
    </row>
    <row r="74" spans="2:17">
      <c r="B74" s="21"/>
      <c r="C74" s="21"/>
      <c r="D74" s="21"/>
      <c r="E74" s="21"/>
      <c r="F74" s="21"/>
      <c r="G74" s="21"/>
      <c r="H74" s="21"/>
      <c r="I74" s="21"/>
      <c r="J74" s="21"/>
      <c r="K74" s="21"/>
      <c r="L74" s="21"/>
      <c r="M74" s="21"/>
      <c r="N74" s="21"/>
      <c r="O74" s="21"/>
      <c r="P74" s="21"/>
    </row>
    <row r="75" spans="2:17">
      <c r="B75" s="21"/>
      <c r="C75" s="21"/>
      <c r="D75" s="21"/>
      <c r="E75" s="21"/>
      <c r="F75" s="21"/>
      <c r="G75" s="21"/>
      <c r="H75" s="21"/>
      <c r="I75" s="21"/>
      <c r="J75" s="21"/>
      <c r="K75" s="21"/>
      <c r="L75" s="21"/>
      <c r="M75" s="21"/>
      <c r="N75" s="21"/>
      <c r="O75" s="21"/>
      <c r="P75" s="21"/>
    </row>
    <row r="76" spans="2:17">
      <c r="B76" s="21"/>
      <c r="C76" s="21"/>
      <c r="D76" s="21"/>
      <c r="E76" s="21"/>
      <c r="F76" s="21"/>
      <c r="G76" s="21"/>
      <c r="H76" s="21"/>
      <c r="I76" s="21"/>
      <c r="J76" s="21"/>
      <c r="K76" s="21"/>
      <c r="L76" s="21"/>
      <c r="M76" s="21"/>
      <c r="N76" s="21"/>
      <c r="O76" s="21"/>
      <c r="P76" s="21"/>
    </row>
    <row r="77" spans="2:17">
      <c r="B77" s="21"/>
      <c r="C77" s="21"/>
      <c r="D77" s="21"/>
      <c r="E77" s="21"/>
      <c r="F77" s="21"/>
      <c r="G77" s="21"/>
      <c r="H77" s="21"/>
      <c r="I77" s="21"/>
      <c r="J77" s="21"/>
      <c r="K77" s="21"/>
      <c r="L77" s="21"/>
      <c r="M77" s="21"/>
      <c r="N77" s="21"/>
      <c r="O77" s="21"/>
      <c r="P77" s="21"/>
    </row>
    <row r="78" spans="2:17">
      <c r="B78" s="21"/>
      <c r="C78" s="21"/>
      <c r="D78" s="21"/>
      <c r="E78" s="21"/>
      <c r="F78" s="21"/>
      <c r="G78" s="21"/>
      <c r="H78" s="21"/>
      <c r="I78" s="21"/>
      <c r="J78" s="21"/>
      <c r="K78" s="21"/>
      <c r="L78" s="21"/>
      <c r="M78" s="21"/>
      <c r="N78" s="21"/>
      <c r="O78" s="21"/>
      <c r="P78" s="21"/>
    </row>
    <row r="79" spans="2:17">
      <c r="B79" s="21"/>
      <c r="C79" s="21"/>
      <c r="D79" s="21"/>
      <c r="E79" s="21"/>
      <c r="F79" s="21"/>
      <c r="G79" s="21"/>
      <c r="H79" s="21"/>
      <c r="I79" s="21"/>
      <c r="J79" s="21"/>
      <c r="K79" s="21"/>
      <c r="L79" s="21"/>
      <c r="M79" s="21"/>
      <c r="N79" s="21"/>
      <c r="O79" s="21"/>
      <c r="P79" s="21"/>
    </row>
    <row r="80" spans="2:17">
      <c r="B80" s="21"/>
      <c r="C80" s="21"/>
      <c r="D80" s="21"/>
      <c r="E80" s="21"/>
      <c r="F80" s="21"/>
      <c r="G80" s="21"/>
      <c r="H80" s="21"/>
      <c r="I80" s="21"/>
      <c r="J80" s="21"/>
      <c r="K80" s="21"/>
      <c r="L80" s="21"/>
      <c r="M80" s="21"/>
      <c r="N80" s="21"/>
      <c r="O80" s="21"/>
      <c r="P80" s="21"/>
    </row>
    <row r="81" spans="2:16">
      <c r="B81" s="21"/>
      <c r="C81" s="21"/>
      <c r="D81" s="21"/>
      <c r="E81" s="21"/>
      <c r="F81" s="21"/>
      <c r="G81" s="21"/>
      <c r="H81" s="21"/>
      <c r="I81" s="21"/>
      <c r="J81" s="21"/>
      <c r="K81" s="21"/>
      <c r="L81" s="21"/>
      <c r="M81" s="21"/>
      <c r="N81" s="21"/>
      <c r="O81" s="21"/>
      <c r="P81" s="21"/>
    </row>
    <row r="82" spans="2:16">
      <c r="B82" s="21"/>
      <c r="C82" s="21"/>
      <c r="D82" s="21"/>
      <c r="E82" s="21"/>
      <c r="F82" s="21"/>
      <c r="G82" s="21"/>
      <c r="H82" s="21"/>
      <c r="I82" s="21"/>
      <c r="J82" s="21"/>
      <c r="K82" s="21"/>
      <c r="L82" s="21"/>
      <c r="M82" s="21"/>
      <c r="N82" s="21"/>
      <c r="O82" s="21"/>
      <c r="P82" s="21"/>
    </row>
    <row r="83" spans="2:16">
      <c r="B83" s="21"/>
      <c r="C83" s="21"/>
      <c r="D83" s="21"/>
      <c r="E83" s="21"/>
      <c r="F83" s="21"/>
      <c r="G83" s="21"/>
      <c r="H83" s="21"/>
      <c r="I83" s="21"/>
      <c r="J83" s="21"/>
      <c r="K83" s="21"/>
      <c r="L83" s="21"/>
      <c r="M83" s="21"/>
      <c r="N83" s="21"/>
      <c r="O83" s="21"/>
      <c r="P83" s="21"/>
    </row>
    <row r="84" spans="2:16">
      <c r="B84" s="21"/>
      <c r="C84" s="21"/>
      <c r="D84" s="21"/>
      <c r="E84" s="21"/>
      <c r="F84" s="21"/>
      <c r="G84" s="21"/>
      <c r="H84" s="21"/>
      <c r="I84" s="21"/>
      <c r="J84" s="21"/>
      <c r="K84" s="21"/>
      <c r="L84" s="21"/>
      <c r="M84" s="21"/>
      <c r="N84" s="21"/>
      <c r="O84" s="21"/>
      <c r="P84" s="21"/>
    </row>
    <row r="85" spans="2:16">
      <c r="B85" s="21"/>
      <c r="C85" s="21"/>
      <c r="D85" s="21"/>
      <c r="E85" s="21"/>
      <c r="F85" s="21"/>
      <c r="G85" s="21"/>
      <c r="H85" s="21"/>
      <c r="I85" s="21"/>
      <c r="J85" s="21"/>
      <c r="K85" s="21"/>
      <c r="L85" s="21"/>
      <c r="M85" s="21"/>
      <c r="N85" s="21"/>
      <c r="O85" s="21"/>
      <c r="P85" s="21"/>
    </row>
    <row r="86" spans="2:16">
      <c r="B86" s="21"/>
      <c r="C86" s="21"/>
      <c r="D86" s="21"/>
      <c r="E86" s="21"/>
      <c r="F86" s="21"/>
      <c r="G86" s="21"/>
      <c r="H86" s="21"/>
      <c r="I86" s="21"/>
      <c r="J86" s="21"/>
      <c r="K86" s="21"/>
      <c r="L86" s="21"/>
      <c r="M86" s="21"/>
      <c r="N86" s="21"/>
      <c r="O86" s="21"/>
      <c r="P86" s="21"/>
    </row>
    <row r="87" spans="2:16">
      <c r="B87" s="21"/>
      <c r="C87" s="21"/>
      <c r="D87" s="21"/>
      <c r="E87" s="21"/>
      <c r="F87" s="21"/>
      <c r="G87" s="21"/>
      <c r="H87" s="21"/>
      <c r="I87" s="21"/>
      <c r="J87" s="21"/>
      <c r="K87" s="21"/>
      <c r="L87" s="21"/>
      <c r="M87" s="21"/>
      <c r="N87" s="21"/>
      <c r="O87" s="21"/>
      <c r="P87" s="21"/>
    </row>
    <row r="88" spans="2:16">
      <c r="B88" s="21"/>
      <c r="C88" s="21"/>
      <c r="D88" s="21"/>
      <c r="E88" s="21"/>
      <c r="F88" s="21"/>
      <c r="G88" s="21"/>
      <c r="H88" s="21"/>
      <c r="I88" s="21"/>
      <c r="J88" s="21"/>
      <c r="K88" s="21"/>
      <c r="L88" s="21"/>
      <c r="M88" s="21"/>
      <c r="N88" s="21"/>
      <c r="O88" s="21"/>
      <c r="P88" s="21"/>
    </row>
    <row r="89" spans="2:16">
      <c r="B89" s="21"/>
      <c r="C89" s="21"/>
      <c r="D89" s="21"/>
      <c r="E89" s="21"/>
      <c r="F89" s="21"/>
      <c r="G89" s="21"/>
      <c r="H89" s="21"/>
      <c r="I89" s="21"/>
      <c r="J89" s="21"/>
      <c r="K89" s="21"/>
      <c r="L89" s="21"/>
      <c r="M89" s="21"/>
      <c r="N89" s="21"/>
      <c r="O89" s="21"/>
      <c r="P89" s="21"/>
    </row>
    <row r="90" spans="2:16">
      <c r="B90" s="21"/>
      <c r="C90" s="21"/>
      <c r="D90" s="21"/>
      <c r="E90" s="21"/>
      <c r="F90" s="21"/>
      <c r="G90" s="21"/>
      <c r="H90" s="21"/>
      <c r="I90" s="21"/>
      <c r="J90" s="21"/>
      <c r="K90" s="21"/>
      <c r="L90" s="21"/>
      <c r="M90" s="21"/>
      <c r="N90" s="21"/>
      <c r="O90" s="21"/>
      <c r="P90" s="21"/>
    </row>
    <row r="91" spans="2:16">
      <c r="B91" s="21"/>
      <c r="C91" s="21"/>
      <c r="D91" s="21"/>
      <c r="E91" s="21"/>
      <c r="F91" s="21"/>
      <c r="G91" s="21"/>
      <c r="H91" s="21"/>
      <c r="I91" s="21"/>
      <c r="J91" s="21"/>
      <c r="K91" s="21"/>
      <c r="L91" s="21"/>
      <c r="M91" s="21"/>
      <c r="N91" s="21"/>
      <c r="O91" s="21"/>
      <c r="P91" s="21"/>
    </row>
    <row r="92" spans="2:16">
      <c r="B92" s="21"/>
      <c r="C92" s="21"/>
      <c r="D92" s="21"/>
      <c r="E92" s="21"/>
      <c r="F92" s="21"/>
      <c r="G92" s="21"/>
      <c r="H92" s="21"/>
      <c r="I92" s="21"/>
      <c r="J92" s="21"/>
      <c r="K92" s="21"/>
      <c r="L92" s="21"/>
      <c r="M92" s="21"/>
      <c r="N92" s="21"/>
      <c r="O92" s="21"/>
      <c r="P92" s="21"/>
    </row>
    <row r="93" spans="2:16">
      <c r="B93" s="21"/>
      <c r="C93" s="21"/>
      <c r="D93" s="21"/>
      <c r="E93" s="21"/>
      <c r="F93" s="21"/>
      <c r="G93" s="21"/>
      <c r="H93" s="21"/>
      <c r="I93" s="21"/>
      <c r="J93" s="21"/>
      <c r="K93" s="21"/>
      <c r="L93" s="21"/>
      <c r="M93" s="21"/>
      <c r="N93" s="21"/>
      <c r="O93" s="21"/>
      <c r="P93" s="21"/>
    </row>
    <row r="94" spans="2:16">
      <c r="B94" s="21"/>
      <c r="C94" s="21"/>
      <c r="D94" s="21"/>
      <c r="E94" s="21"/>
      <c r="F94" s="21"/>
      <c r="G94" s="21"/>
      <c r="H94" s="21"/>
      <c r="I94" s="21"/>
      <c r="J94" s="21"/>
      <c r="K94" s="21"/>
      <c r="L94" s="21"/>
      <c r="M94" s="21"/>
      <c r="N94" s="21"/>
      <c r="O94" s="21"/>
      <c r="P94" s="21"/>
    </row>
  </sheetData>
  <mergeCells count="2">
    <mergeCell ref="A1:Q1"/>
    <mergeCell ref="B3:Q3"/>
  </mergeCells>
  <pageMargins left="0.7" right="0.7" top="0.75" bottom="0.75" header="0.3" footer="0.3"/>
  <pageSetup scale="89"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Z74"/>
  <sheetViews>
    <sheetView workbookViewId="0">
      <selection sqref="A1:R1"/>
    </sheetView>
  </sheetViews>
  <sheetFormatPr defaultColWidth="9.140625" defaultRowHeight="12.75"/>
  <cols>
    <col min="1" max="1" width="13.140625" style="136" customWidth="1"/>
    <col min="2" max="17" width="8.28515625" style="136" customWidth="1"/>
    <col min="18" max="18" width="9.42578125" style="136" customWidth="1"/>
    <col min="19" max="19" width="15" style="139" customWidth="1"/>
    <col min="20" max="20" width="10.28515625" style="139" customWidth="1"/>
    <col min="21" max="21" width="3.28515625" style="136" bestFit="1" customWidth="1"/>
    <col min="22" max="22" width="10.28515625" style="136" bestFit="1" customWidth="1"/>
    <col min="23" max="23" width="5.85546875" style="136" customWidth="1"/>
    <col min="24" max="24" width="9.140625" style="136"/>
    <col min="25" max="26" width="11.42578125" style="136" bestFit="1" customWidth="1"/>
    <col min="27" max="16384" width="9.140625" style="136"/>
  </cols>
  <sheetData>
    <row r="1" spans="1:26" ht="15" customHeight="1">
      <c r="A1" s="512" t="s">
        <v>29</v>
      </c>
      <c r="B1" s="512"/>
      <c r="C1" s="512"/>
      <c r="D1" s="512"/>
      <c r="E1" s="512"/>
      <c r="F1" s="512"/>
      <c r="G1" s="512"/>
      <c r="H1" s="512"/>
      <c r="I1" s="512"/>
      <c r="J1" s="512"/>
      <c r="K1" s="512"/>
      <c r="L1" s="512"/>
      <c r="M1" s="512"/>
      <c r="N1" s="512"/>
      <c r="O1" s="512"/>
      <c r="P1" s="512"/>
      <c r="Q1" s="512"/>
      <c r="R1" s="512"/>
      <c r="S1" s="249"/>
      <c r="T1" s="204"/>
    </row>
    <row r="2" spans="1:26" ht="15">
      <c r="A2" s="344"/>
      <c r="B2" s="344"/>
      <c r="C2" s="344"/>
      <c r="D2" s="344"/>
      <c r="E2" s="344"/>
      <c r="F2" s="344"/>
      <c r="G2" s="344"/>
      <c r="H2" s="344"/>
      <c r="I2" s="344"/>
      <c r="J2" s="344"/>
      <c r="K2" s="344"/>
      <c r="L2" s="344"/>
      <c r="M2" s="344"/>
      <c r="N2" s="344"/>
      <c r="O2" s="344"/>
      <c r="P2" s="344"/>
      <c r="Q2" s="344"/>
      <c r="R2" s="344"/>
      <c r="V2" s="517" t="s">
        <v>530</v>
      </c>
      <c r="W2" s="518"/>
      <c r="X2" s="518"/>
      <c r="Y2" s="518"/>
      <c r="Z2" s="518"/>
    </row>
    <row r="3" spans="1:26">
      <c r="A3" s="351"/>
      <c r="B3" s="516" t="s">
        <v>18</v>
      </c>
      <c r="C3" s="516"/>
      <c r="D3" s="516"/>
      <c r="E3" s="516"/>
      <c r="F3" s="516"/>
      <c r="G3" s="516"/>
      <c r="H3" s="516"/>
      <c r="I3" s="516"/>
      <c r="J3" s="516"/>
      <c r="K3" s="516"/>
      <c r="L3" s="516"/>
      <c r="M3" s="516"/>
      <c r="N3" s="516"/>
      <c r="O3" s="516"/>
      <c r="P3" s="516"/>
      <c r="Q3" s="516"/>
      <c r="R3" s="516"/>
      <c r="S3" s="171"/>
      <c r="T3" s="205"/>
      <c r="V3" s="165" t="s">
        <v>371</v>
      </c>
      <c r="W3" s="203" t="s">
        <v>522</v>
      </c>
      <c r="X3" s="203" t="s">
        <v>523</v>
      </c>
      <c r="Y3" s="203" t="s">
        <v>524</v>
      </c>
      <c r="Z3" s="203" t="s">
        <v>525</v>
      </c>
    </row>
    <row r="4" spans="1:26">
      <c r="A4" s="11" t="s">
        <v>19</v>
      </c>
      <c r="B4" s="407" t="s">
        <v>451</v>
      </c>
      <c r="C4" s="407" t="s">
        <v>452</v>
      </c>
      <c r="D4" s="407" t="s">
        <v>453</v>
      </c>
      <c r="E4" s="407" t="s">
        <v>454</v>
      </c>
      <c r="F4" s="407" t="s">
        <v>455</v>
      </c>
      <c r="G4" s="407" t="s">
        <v>456</v>
      </c>
      <c r="H4" s="407" t="s">
        <v>457</v>
      </c>
      <c r="I4" s="407" t="s">
        <v>458</v>
      </c>
      <c r="J4" s="407" t="s">
        <v>459</v>
      </c>
      <c r="K4" s="407" t="s">
        <v>460</v>
      </c>
      <c r="L4" s="407" t="s">
        <v>461</v>
      </c>
      <c r="M4" s="407" t="s">
        <v>462</v>
      </c>
      <c r="N4" s="407" t="s">
        <v>463</v>
      </c>
      <c r="O4" s="407" t="s">
        <v>464</v>
      </c>
      <c r="P4" s="407" t="s">
        <v>465</v>
      </c>
      <c r="Q4" s="407" t="s">
        <v>466</v>
      </c>
      <c r="R4" s="407" t="s">
        <v>467</v>
      </c>
      <c r="S4" s="407" t="s">
        <v>469</v>
      </c>
      <c r="T4" s="116"/>
      <c r="U4" s="519" t="s">
        <v>528</v>
      </c>
      <c r="V4" s="68" t="s">
        <v>443</v>
      </c>
      <c r="W4" s="385">
        <v>10</v>
      </c>
      <c r="X4" s="167">
        <f>HLOOKUP(V4,'Exhibit 2.2.1'!$J$37:$Q$38,2,0)</f>
        <v>1.0221666666666664</v>
      </c>
      <c r="Y4" s="201">
        <f>LN(W4)</f>
        <v>2.3025850929940459</v>
      </c>
      <c r="Z4" s="201">
        <f>LN(X4-1)</f>
        <v>-3.8091656199884483</v>
      </c>
    </row>
    <row r="5" spans="1:26">
      <c r="A5" s="385">
        <v>1982</v>
      </c>
      <c r="E5" s="417">
        <v>1.01</v>
      </c>
      <c r="F5" s="417">
        <v>1.006</v>
      </c>
      <c r="G5" s="417">
        <v>1.0069999999999999</v>
      </c>
      <c r="H5" s="417">
        <v>1.0009999999999999</v>
      </c>
      <c r="I5" s="417">
        <v>1.002</v>
      </c>
      <c r="J5" s="417">
        <v>1.0069999999999999</v>
      </c>
      <c r="K5" s="417">
        <v>1.0109999999999999</v>
      </c>
      <c r="L5" s="417">
        <v>1.002</v>
      </c>
      <c r="M5" s="417">
        <v>1.0049999999999999</v>
      </c>
      <c r="S5" s="411"/>
      <c r="T5" s="28"/>
      <c r="U5" s="520"/>
      <c r="V5" s="385" t="str">
        <f>LEFT(V4,3)+12&amp;"/"&amp;LEFT(V4,3)</f>
        <v>135/123</v>
      </c>
      <c r="W5" s="385">
        <f>+W4+1</f>
        <v>11</v>
      </c>
      <c r="X5" s="167">
        <f>HLOOKUP(V5,'Exhibit 2.2.1'!$J$37:$Q$38,2,0)</f>
        <v>1.0156666666666665</v>
      </c>
      <c r="Y5" s="201">
        <f t="shared" ref="Y5:Y68" si="0">LN(W5)</f>
        <v>2.3978952727983707</v>
      </c>
      <c r="Z5" s="201">
        <f t="shared" ref="Z5:Z23" si="1">LN(X5-1)</f>
        <v>-4.156219965940199</v>
      </c>
    </row>
    <row r="6" spans="1:26">
      <c r="A6" s="12">
        <v>1983</v>
      </c>
      <c r="B6" s="408" t="s">
        <v>36</v>
      </c>
      <c r="C6" s="408" t="s">
        <v>36</v>
      </c>
      <c r="D6" s="408">
        <v>1.0089999999999999</v>
      </c>
      <c r="E6" s="408">
        <v>1.0109999999999999</v>
      </c>
      <c r="F6" s="408">
        <v>0.997</v>
      </c>
      <c r="G6" s="408">
        <v>1</v>
      </c>
      <c r="H6" s="408">
        <v>1.008</v>
      </c>
      <c r="I6" s="408">
        <v>1.004</v>
      </c>
      <c r="J6" s="408">
        <v>1.004</v>
      </c>
      <c r="K6" s="408">
        <v>1.0029999999999999</v>
      </c>
      <c r="L6" s="408">
        <v>1.0029999999999999</v>
      </c>
      <c r="M6" s="408">
        <v>1.0049999999999999</v>
      </c>
      <c r="N6" s="408">
        <v>1.0029999999999999</v>
      </c>
      <c r="O6" s="408">
        <v>1.0029999999999999</v>
      </c>
      <c r="P6" s="408">
        <v>1.002</v>
      </c>
      <c r="Q6" s="408">
        <v>0.997</v>
      </c>
      <c r="R6" s="408">
        <v>0.999</v>
      </c>
      <c r="S6" s="411"/>
      <c r="T6" s="28"/>
      <c r="U6" s="520"/>
      <c r="V6" s="385" t="str">
        <f t="shared" ref="V6:V69" si="2">LEFT(V5,3)+12&amp;"/"&amp;LEFT(V5,3)</f>
        <v>147/135</v>
      </c>
      <c r="W6" s="385">
        <f t="shared" ref="W6:W69" si="3">+W5+1</f>
        <v>12</v>
      </c>
      <c r="X6" s="167">
        <f>HLOOKUP(V6,'Exhibit 2.2.1'!$J$37:$Q$38,2,0)</f>
        <v>1.0128333333333333</v>
      </c>
      <c r="Y6" s="201">
        <f t="shared" si="0"/>
        <v>2.4849066497880004</v>
      </c>
      <c r="Z6" s="201">
        <f t="shared" si="1"/>
        <v>-4.3557093263565143</v>
      </c>
    </row>
    <row r="7" spans="1:26">
      <c r="A7" s="12">
        <v>1984</v>
      </c>
      <c r="B7" s="408" t="s">
        <v>36</v>
      </c>
      <c r="C7" s="408">
        <v>1.0049999999999999</v>
      </c>
      <c r="D7" s="408">
        <v>1.004</v>
      </c>
      <c r="E7" s="408">
        <v>1.006</v>
      </c>
      <c r="F7" s="408">
        <v>1.0029999999999999</v>
      </c>
      <c r="G7" s="408">
        <v>1.0029999999999999</v>
      </c>
      <c r="H7" s="408">
        <v>1.0009999999999999</v>
      </c>
      <c r="I7" s="408">
        <v>1.004</v>
      </c>
      <c r="J7" s="408">
        <v>1.002</v>
      </c>
      <c r="K7" s="408">
        <v>1.004</v>
      </c>
      <c r="L7" s="408">
        <v>1.0029999999999999</v>
      </c>
      <c r="M7" s="408">
        <v>1</v>
      </c>
      <c r="N7" s="408">
        <v>1.004</v>
      </c>
      <c r="O7" s="408">
        <v>0.999</v>
      </c>
      <c r="P7" s="408">
        <v>0.999</v>
      </c>
      <c r="Q7" s="408">
        <v>1.0009999999999999</v>
      </c>
      <c r="R7" s="408">
        <v>1</v>
      </c>
      <c r="S7" s="411"/>
      <c r="T7" s="28"/>
      <c r="U7" s="520"/>
      <c r="V7" s="385" t="str">
        <f t="shared" si="2"/>
        <v>159/147</v>
      </c>
      <c r="W7" s="385">
        <f t="shared" si="3"/>
        <v>13</v>
      </c>
      <c r="X7" s="167">
        <f>HLOOKUP(V7,'Exhibit 2.2.1'!$J$37:$Q$38,2,0)</f>
        <v>1.0111666666666668</v>
      </c>
      <c r="Y7" s="201">
        <f t="shared" si="0"/>
        <v>2.5649493574615367</v>
      </c>
      <c r="Z7" s="201">
        <f t="shared" si="1"/>
        <v>-4.4948221288192167</v>
      </c>
    </row>
    <row r="8" spans="1:26">
      <c r="A8" s="12">
        <v>1985</v>
      </c>
      <c r="B8" s="408">
        <v>1.004</v>
      </c>
      <c r="C8" s="408">
        <v>1.0069999999999999</v>
      </c>
      <c r="D8" s="408">
        <v>1.008</v>
      </c>
      <c r="E8" s="408">
        <v>1.006</v>
      </c>
      <c r="F8" s="408">
        <v>1.0049999999999999</v>
      </c>
      <c r="G8" s="408">
        <v>1.0009999999999999</v>
      </c>
      <c r="H8" s="408">
        <v>1.0009999999999999</v>
      </c>
      <c r="I8" s="408">
        <v>1.002</v>
      </c>
      <c r="J8" s="408">
        <v>1.004</v>
      </c>
      <c r="K8" s="408">
        <v>1.004</v>
      </c>
      <c r="L8" s="408">
        <v>1.0029999999999999</v>
      </c>
      <c r="M8" s="408">
        <v>1.004</v>
      </c>
      <c r="N8" s="408">
        <v>1</v>
      </c>
      <c r="O8" s="408">
        <v>0.999</v>
      </c>
      <c r="P8" s="408">
        <v>0.999</v>
      </c>
      <c r="Q8" s="408">
        <v>1</v>
      </c>
      <c r="R8" s="408">
        <v>1.0009999999999999</v>
      </c>
      <c r="S8" s="411"/>
      <c r="T8" s="28"/>
      <c r="U8" s="520"/>
      <c r="V8" s="385" t="str">
        <f t="shared" si="2"/>
        <v>171/159</v>
      </c>
      <c r="W8" s="385">
        <f t="shared" si="3"/>
        <v>14</v>
      </c>
      <c r="X8" s="167">
        <f>HLOOKUP(V8,'Exhibit 2.2.1'!$J$37:$Q$38,2,0)</f>
        <v>1.0073333333333334</v>
      </c>
      <c r="Y8" s="201">
        <f t="shared" si="0"/>
        <v>2.6390573296152584</v>
      </c>
      <c r="Z8" s="201">
        <f t="shared" si="1"/>
        <v>-4.9153251142919201</v>
      </c>
    </row>
    <row r="9" spans="1:26">
      <c r="A9" s="12">
        <v>1986</v>
      </c>
      <c r="B9" s="408">
        <v>1.008</v>
      </c>
      <c r="C9" s="408">
        <v>1.0049999999999999</v>
      </c>
      <c r="D9" s="408">
        <v>1.0029999999999999</v>
      </c>
      <c r="E9" s="408">
        <v>1.0009999999999999</v>
      </c>
      <c r="F9" s="408">
        <v>1.0049999999999999</v>
      </c>
      <c r="G9" s="408">
        <v>1.0029999999999999</v>
      </c>
      <c r="H9" s="408">
        <v>1.006</v>
      </c>
      <c r="I9" s="408">
        <v>1.006</v>
      </c>
      <c r="J9" s="408">
        <v>1.0049999999999999</v>
      </c>
      <c r="K9" s="408">
        <v>1.0049999999999999</v>
      </c>
      <c r="L9" s="408">
        <v>1.004</v>
      </c>
      <c r="M9" s="408">
        <v>1.002</v>
      </c>
      <c r="N9" s="408">
        <v>1.0009999999999999</v>
      </c>
      <c r="O9" s="408">
        <v>0.998</v>
      </c>
      <c r="P9" s="408">
        <v>1.004</v>
      </c>
      <c r="Q9" s="408">
        <v>1.004</v>
      </c>
      <c r="R9" s="408" t="s">
        <v>36</v>
      </c>
      <c r="S9" s="411"/>
      <c r="T9" s="28"/>
      <c r="U9" s="520"/>
      <c r="V9" s="385" t="str">
        <f t="shared" si="2"/>
        <v>183/171</v>
      </c>
      <c r="W9" s="385">
        <f t="shared" si="3"/>
        <v>15</v>
      </c>
      <c r="X9" s="167">
        <f>HLOOKUP(V9,'Exhibit 2.2.1'!$J$37:$Q$38,2,0)</f>
        <v>1.0085</v>
      </c>
      <c r="Y9" s="201">
        <f t="shared" si="0"/>
        <v>2.7080502011022101</v>
      </c>
      <c r="Z9" s="201">
        <f t="shared" si="1"/>
        <v>-4.7676891154858723</v>
      </c>
    </row>
    <row r="10" spans="1:26">
      <c r="A10" s="12">
        <v>1987</v>
      </c>
      <c r="B10" s="408">
        <v>1.0009999999999999</v>
      </c>
      <c r="C10" s="408">
        <v>0.999</v>
      </c>
      <c r="D10" s="408">
        <v>1.0029999999999999</v>
      </c>
      <c r="E10" s="408">
        <v>1.0009999999999999</v>
      </c>
      <c r="F10" s="408">
        <v>1.0049999999999999</v>
      </c>
      <c r="G10" s="408">
        <v>1.01</v>
      </c>
      <c r="H10" s="408">
        <v>0.999</v>
      </c>
      <c r="I10" s="408">
        <v>1.006</v>
      </c>
      <c r="J10" s="408">
        <v>1.0029999999999999</v>
      </c>
      <c r="K10" s="408">
        <v>1.0049999999999999</v>
      </c>
      <c r="L10" s="408">
        <v>1.0029999999999999</v>
      </c>
      <c r="M10" s="408">
        <v>1.0009999999999999</v>
      </c>
      <c r="N10" s="408">
        <v>0.999</v>
      </c>
      <c r="O10" s="408">
        <v>1.0009999999999999</v>
      </c>
      <c r="P10" s="408">
        <v>0.999</v>
      </c>
      <c r="Q10" s="408" t="s">
        <v>36</v>
      </c>
      <c r="R10" s="408" t="s">
        <v>36</v>
      </c>
      <c r="S10" s="411"/>
      <c r="T10" s="28"/>
      <c r="U10" s="520"/>
      <c r="V10" s="385" t="str">
        <f t="shared" si="2"/>
        <v>195/183</v>
      </c>
      <c r="W10" s="385">
        <f t="shared" si="3"/>
        <v>16</v>
      </c>
      <c r="X10" s="167">
        <f>HLOOKUP(V10,'Exhibit 2.2.1'!$J$37:$Q$38,2,0)</f>
        <v>1.0050000000000001</v>
      </c>
      <c r="Y10" s="201">
        <f t="shared" si="0"/>
        <v>2.7725887222397811</v>
      </c>
      <c r="Z10" s="201">
        <f t="shared" si="1"/>
        <v>-5.2983173665480132</v>
      </c>
    </row>
    <row r="11" spans="1:26">
      <c r="A11" s="12">
        <v>1988</v>
      </c>
      <c r="B11" s="408">
        <v>1.0029999999999999</v>
      </c>
      <c r="C11" s="408">
        <v>1.0049999999999999</v>
      </c>
      <c r="D11" s="408">
        <v>1.002</v>
      </c>
      <c r="E11" s="408">
        <v>1.006</v>
      </c>
      <c r="F11" s="408">
        <v>1.0049999999999999</v>
      </c>
      <c r="G11" s="408">
        <v>1.0049999999999999</v>
      </c>
      <c r="H11" s="408">
        <v>1.0009999999999999</v>
      </c>
      <c r="I11" s="408">
        <v>1.0049999999999999</v>
      </c>
      <c r="J11" s="408">
        <v>1.002</v>
      </c>
      <c r="K11" s="408">
        <v>1.0029999999999999</v>
      </c>
      <c r="L11" s="408">
        <v>1.002</v>
      </c>
      <c r="M11" s="408">
        <v>1</v>
      </c>
      <c r="N11" s="408">
        <v>0.998</v>
      </c>
      <c r="O11" s="408">
        <v>1</v>
      </c>
      <c r="P11" s="408" t="s">
        <v>36</v>
      </c>
      <c r="Q11" s="408" t="s">
        <v>36</v>
      </c>
      <c r="R11" s="408" t="s">
        <v>36</v>
      </c>
      <c r="S11" s="412"/>
      <c r="U11" s="521"/>
      <c r="V11" s="385" t="str">
        <f t="shared" si="2"/>
        <v>207/195</v>
      </c>
      <c r="W11" s="385">
        <f t="shared" si="3"/>
        <v>17</v>
      </c>
      <c r="X11" s="167">
        <f>HLOOKUP(V11,'Exhibit 2.2.1'!$J$37:$Q$38,2,0)</f>
        <v>1.0075000000000001</v>
      </c>
      <c r="Y11" s="201">
        <f t="shared" si="0"/>
        <v>2.8332133440562162</v>
      </c>
      <c r="Z11" s="201">
        <f t="shared" si="1"/>
        <v>-4.8928522584398637</v>
      </c>
    </row>
    <row r="12" spans="1:26" ht="12.75" customHeight="1">
      <c r="A12" s="12">
        <v>1989</v>
      </c>
      <c r="B12" s="408">
        <v>1.0029999999999999</v>
      </c>
      <c r="C12" s="408">
        <v>1.006</v>
      </c>
      <c r="D12" s="408">
        <v>1.0049999999999999</v>
      </c>
      <c r="E12" s="408">
        <v>1.008</v>
      </c>
      <c r="F12" s="408">
        <v>1.0049999999999999</v>
      </c>
      <c r="G12" s="408">
        <v>1.006</v>
      </c>
      <c r="H12" s="408">
        <v>1.0069999999999999</v>
      </c>
      <c r="I12" s="408">
        <v>1</v>
      </c>
      <c r="J12" s="408">
        <v>1.002</v>
      </c>
      <c r="K12" s="408">
        <v>0.999</v>
      </c>
      <c r="L12" s="408">
        <v>0.999</v>
      </c>
      <c r="M12" s="408">
        <v>1</v>
      </c>
      <c r="N12" s="408">
        <v>0.999</v>
      </c>
      <c r="O12" s="408" t="s">
        <v>36</v>
      </c>
      <c r="P12" s="408" t="s">
        <v>36</v>
      </c>
      <c r="Q12" s="408" t="s">
        <v>36</v>
      </c>
      <c r="R12" s="408" t="s">
        <v>36</v>
      </c>
      <c r="S12" s="412"/>
      <c r="U12" s="519" t="s">
        <v>529</v>
      </c>
      <c r="V12" s="385" t="str">
        <f t="shared" si="2"/>
        <v>219/207</v>
      </c>
      <c r="W12" s="385">
        <f t="shared" si="3"/>
        <v>18</v>
      </c>
      <c r="X12" s="167">
        <f t="shared" ref="X12:X23" si="4">HLOOKUP(V12,$B$31:$M$32,2,0)</f>
        <v>1.0056666666666667</v>
      </c>
      <c r="Y12" s="201">
        <f t="shared" si="0"/>
        <v>2.8903717578961645</v>
      </c>
      <c r="Z12" s="201">
        <f t="shared" si="1"/>
        <v>-5.1731542235940235</v>
      </c>
    </row>
    <row r="13" spans="1:26" ht="12.75" customHeight="1">
      <c r="A13" s="12">
        <v>1990</v>
      </c>
      <c r="B13" s="408">
        <v>1.0029999999999999</v>
      </c>
      <c r="C13" s="408">
        <v>1.006</v>
      </c>
      <c r="D13" s="408">
        <v>1.008</v>
      </c>
      <c r="E13" s="408">
        <v>1.0049999999999999</v>
      </c>
      <c r="F13" s="408">
        <v>1.0029999999999999</v>
      </c>
      <c r="G13" s="408">
        <v>1.002</v>
      </c>
      <c r="H13" s="408">
        <v>1.004</v>
      </c>
      <c r="I13" s="408">
        <v>0.997</v>
      </c>
      <c r="J13" s="408">
        <v>1.0009999999999999</v>
      </c>
      <c r="K13" s="408">
        <v>1.0009999999999999</v>
      </c>
      <c r="L13" s="408">
        <v>0.999</v>
      </c>
      <c r="M13" s="408">
        <v>0.998</v>
      </c>
      <c r="N13" s="408" t="s">
        <v>36</v>
      </c>
      <c r="O13" s="408" t="s">
        <v>36</v>
      </c>
      <c r="P13" s="408" t="s">
        <v>36</v>
      </c>
      <c r="Q13" s="408" t="s">
        <v>36</v>
      </c>
      <c r="R13" s="408" t="s">
        <v>36</v>
      </c>
      <c r="S13" s="412"/>
      <c r="U13" s="522"/>
      <c r="V13" s="385" t="str">
        <f t="shared" si="2"/>
        <v>231/219</v>
      </c>
      <c r="W13" s="385">
        <f t="shared" si="3"/>
        <v>19</v>
      </c>
      <c r="X13" s="167">
        <f t="shared" si="4"/>
        <v>1.0021666666666667</v>
      </c>
      <c r="Y13" s="201">
        <f t="shared" si="0"/>
        <v>2.9444389791664403</v>
      </c>
      <c r="Z13" s="201">
        <f t="shared" si="1"/>
        <v>-6.134565390748663</v>
      </c>
    </row>
    <row r="14" spans="1:26" ht="12.75" customHeight="1">
      <c r="A14" s="12">
        <v>1991</v>
      </c>
      <c r="B14" s="408">
        <v>1.0069999999999999</v>
      </c>
      <c r="C14" s="408">
        <v>1.006</v>
      </c>
      <c r="D14" s="408">
        <v>1.0049999999999999</v>
      </c>
      <c r="E14" s="408">
        <v>1.002</v>
      </c>
      <c r="F14" s="408">
        <v>1.004</v>
      </c>
      <c r="G14" s="408">
        <v>1.0009999999999999</v>
      </c>
      <c r="H14" s="408">
        <v>1.0029999999999999</v>
      </c>
      <c r="I14" s="408">
        <v>1.0009999999999999</v>
      </c>
      <c r="J14" s="408">
        <v>0.999</v>
      </c>
      <c r="K14" s="408">
        <v>0.999</v>
      </c>
      <c r="L14" s="408">
        <v>0.998</v>
      </c>
      <c r="M14" s="408" t="s">
        <v>36</v>
      </c>
      <c r="N14" s="408" t="s">
        <v>36</v>
      </c>
      <c r="O14" s="408" t="s">
        <v>36</v>
      </c>
      <c r="P14" s="408" t="s">
        <v>36</v>
      </c>
      <c r="Q14" s="408" t="s">
        <v>36</v>
      </c>
      <c r="R14" s="408" t="s">
        <v>36</v>
      </c>
      <c r="S14" s="412"/>
      <c r="U14" s="522"/>
      <c r="V14" s="385" t="str">
        <f t="shared" si="2"/>
        <v>243/231</v>
      </c>
      <c r="W14" s="385">
        <f t="shared" si="3"/>
        <v>20</v>
      </c>
      <c r="X14" s="167">
        <f t="shared" si="4"/>
        <v>1.0056666666666667</v>
      </c>
      <c r="Y14" s="201">
        <f t="shared" si="0"/>
        <v>2.9957322735539909</v>
      </c>
      <c r="Z14" s="201">
        <f t="shared" si="1"/>
        <v>-5.1731542235940235</v>
      </c>
    </row>
    <row r="15" spans="1:26" ht="12.75" customHeight="1">
      <c r="A15" s="12">
        <v>1992</v>
      </c>
      <c r="B15" s="408">
        <v>1.0089999999999999</v>
      </c>
      <c r="C15" s="408">
        <v>1.0009999999999999</v>
      </c>
      <c r="D15" s="408">
        <v>1.0029999999999999</v>
      </c>
      <c r="E15" s="408">
        <v>1.0049999999999999</v>
      </c>
      <c r="F15" s="408">
        <v>1.0029999999999999</v>
      </c>
      <c r="G15" s="408">
        <v>1.0029999999999999</v>
      </c>
      <c r="H15" s="408">
        <v>0.999</v>
      </c>
      <c r="I15" s="408">
        <v>1</v>
      </c>
      <c r="J15" s="408">
        <v>1.002</v>
      </c>
      <c r="K15" s="408">
        <v>0.998</v>
      </c>
      <c r="L15" s="408" t="s">
        <v>36</v>
      </c>
      <c r="M15" s="408" t="s">
        <v>36</v>
      </c>
      <c r="N15" s="408" t="s">
        <v>36</v>
      </c>
      <c r="O15" s="408" t="s">
        <v>36</v>
      </c>
      <c r="P15" s="408" t="s">
        <v>36</v>
      </c>
      <c r="Q15" s="408" t="s">
        <v>36</v>
      </c>
      <c r="R15" s="408" t="s">
        <v>36</v>
      </c>
      <c r="S15" s="412"/>
      <c r="U15" s="522"/>
      <c r="V15" s="385" t="str">
        <f t="shared" si="2"/>
        <v>255/243</v>
      </c>
      <c r="W15" s="385">
        <f t="shared" si="3"/>
        <v>21</v>
      </c>
      <c r="X15" s="167">
        <f t="shared" si="4"/>
        <v>1.0028333333333332</v>
      </c>
      <c r="Y15" s="201">
        <f t="shared" si="0"/>
        <v>3.044522437723423</v>
      </c>
      <c r="Z15" s="201">
        <f t="shared" si="1"/>
        <v>-5.866301404154008</v>
      </c>
    </row>
    <row r="16" spans="1:26" ht="12.75" customHeight="1">
      <c r="A16" s="12">
        <v>1993</v>
      </c>
      <c r="B16" s="408">
        <v>1.0049999999999999</v>
      </c>
      <c r="C16" s="408">
        <v>1.0129999999999999</v>
      </c>
      <c r="D16" s="408">
        <v>1.0129999999999999</v>
      </c>
      <c r="E16" s="408">
        <v>1.0009999999999999</v>
      </c>
      <c r="F16" s="408">
        <v>1.0009999999999999</v>
      </c>
      <c r="G16" s="408">
        <v>0.999</v>
      </c>
      <c r="H16" s="408">
        <v>0.996</v>
      </c>
      <c r="I16" s="408">
        <v>1</v>
      </c>
      <c r="J16" s="408">
        <v>1</v>
      </c>
      <c r="K16" s="408" t="s">
        <v>36</v>
      </c>
      <c r="L16" s="408" t="s">
        <v>36</v>
      </c>
      <c r="M16" s="408" t="s">
        <v>36</v>
      </c>
      <c r="N16" s="408" t="s">
        <v>36</v>
      </c>
      <c r="O16" s="408" t="s">
        <v>36</v>
      </c>
      <c r="P16" s="408" t="s">
        <v>36</v>
      </c>
      <c r="Q16" s="408" t="s">
        <v>36</v>
      </c>
      <c r="R16" s="408" t="s">
        <v>36</v>
      </c>
      <c r="S16" s="412"/>
      <c r="U16" s="522"/>
      <c r="V16" s="385" t="str">
        <f t="shared" si="2"/>
        <v>267/255</v>
      </c>
      <c r="W16" s="385">
        <f t="shared" si="3"/>
        <v>22</v>
      </c>
      <c r="X16" s="167">
        <f t="shared" si="4"/>
        <v>1.0028333333333332</v>
      </c>
      <c r="Y16" s="201">
        <f t="shared" si="0"/>
        <v>3.0910424533583161</v>
      </c>
      <c r="Z16" s="201">
        <f t="shared" si="1"/>
        <v>-5.866301404154008</v>
      </c>
    </row>
    <row r="17" spans="1:26" ht="12.75" customHeight="1">
      <c r="A17" s="12">
        <v>1994</v>
      </c>
      <c r="B17" s="408">
        <v>1.0109999999999999</v>
      </c>
      <c r="C17" s="408">
        <v>1.0049999999999999</v>
      </c>
      <c r="D17" s="408">
        <v>1.006</v>
      </c>
      <c r="E17" s="408">
        <v>1.004</v>
      </c>
      <c r="F17" s="408">
        <v>1.0009999999999999</v>
      </c>
      <c r="G17" s="408">
        <v>0.996</v>
      </c>
      <c r="H17" s="408">
        <v>0.997</v>
      </c>
      <c r="I17" s="408">
        <v>0.998</v>
      </c>
      <c r="J17" s="408" t="s">
        <v>36</v>
      </c>
      <c r="K17" s="408" t="s">
        <v>36</v>
      </c>
      <c r="L17" s="408" t="s">
        <v>36</v>
      </c>
      <c r="M17" s="408" t="s">
        <v>36</v>
      </c>
      <c r="N17" s="408" t="s">
        <v>36</v>
      </c>
      <c r="O17" s="408" t="s">
        <v>36</v>
      </c>
      <c r="P17" s="408" t="s">
        <v>36</v>
      </c>
      <c r="Q17" s="408" t="s">
        <v>36</v>
      </c>
      <c r="R17" s="408" t="s">
        <v>36</v>
      </c>
      <c r="S17" s="412"/>
      <c r="U17" s="522"/>
      <c r="V17" s="385" t="str">
        <f t="shared" si="2"/>
        <v>279/267</v>
      </c>
      <c r="W17" s="385">
        <f t="shared" si="3"/>
        <v>23</v>
      </c>
      <c r="X17" s="167">
        <f t="shared" si="4"/>
        <v>1.0026666666666666</v>
      </c>
      <c r="Y17" s="201">
        <f t="shared" si="0"/>
        <v>3.1354942159291497</v>
      </c>
      <c r="Z17" s="201">
        <f t="shared" si="1"/>
        <v>-5.9269260259704373</v>
      </c>
    </row>
    <row r="18" spans="1:26" ht="12.75" customHeight="1">
      <c r="A18" s="12">
        <v>1995</v>
      </c>
      <c r="B18" s="408">
        <v>1.012</v>
      </c>
      <c r="C18" s="408">
        <v>0.996</v>
      </c>
      <c r="D18" s="408">
        <v>1.0069999999999999</v>
      </c>
      <c r="E18" s="408">
        <v>1</v>
      </c>
      <c r="F18" s="408">
        <v>0.997</v>
      </c>
      <c r="G18" s="408">
        <v>0.998</v>
      </c>
      <c r="H18" s="408">
        <v>0.999</v>
      </c>
      <c r="I18" s="408" t="s">
        <v>36</v>
      </c>
      <c r="J18" s="408" t="s">
        <v>36</v>
      </c>
      <c r="K18" s="408" t="s">
        <v>36</v>
      </c>
      <c r="L18" s="408" t="s">
        <v>36</v>
      </c>
      <c r="M18" s="408" t="s">
        <v>36</v>
      </c>
      <c r="N18" s="408" t="s">
        <v>36</v>
      </c>
      <c r="O18" s="408" t="s">
        <v>36</v>
      </c>
      <c r="P18" s="408" t="s">
        <v>36</v>
      </c>
      <c r="Q18" s="408" t="s">
        <v>36</v>
      </c>
      <c r="R18" s="408" t="s">
        <v>36</v>
      </c>
      <c r="S18" s="412"/>
      <c r="U18" s="522"/>
      <c r="V18" s="385" t="str">
        <f t="shared" si="2"/>
        <v>291/279</v>
      </c>
      <c r="W18" s="385">
        <f t="shared" si="3"/>
        <v>24</v>
      </c>
      <c r="X18" s="167">
        <f t="shared" si="4"/>
        <v>1.0021666666666664</v>
      </c>
      <c r="Y18" s="201">
        <f t="shared" si="0"/>
        <v>3.1780538303479458</v>
      </c>
      <c r="Z18" s="201">
        <f t="shared" si="1"/>
        <v>-6.1345653907487652</v>
      </c>
    </row>
    <row r="19" spans="1:26" ht="12.75" customHeight="1">
      <c r="A19" s="12">
        <v>1996</v>
      </c>
      <c r="B19" s="408">
        <v>1.0069999999999999</v>
      </c>
      <c r="C19" s="408">
        <v>1.0029999999999999</v>
      </c>
      <c r="D19" s="408">
        <v>1</v>
      </c>
      <c r="E19" s="408">
        <v>1.0009999999999999</v>
      </c>
      <c r="F19" s="408">
        <v>0.998</v>
      </c>
      <c r="G19" s="408">
        <v>0.996</v>
      </c>
      <c r="H19" s="408" t="s">
        <v>36</v>
      </c>
      <c r="I19" s="408" t="s">
        <v>36</v>
      </c>
      <c r="J19" s="408" t="s">
        <v>36</v>
      </c>
      <c r="K19" s="408" t="s">
        <v>36</v>
      </c>
      <c r="L19" s="408" t="s">
        <v>36</v>
      </c>
      <c r="M19" s="408" t="s">
        <v>36</v>
      </c>
      <c r="N19" s="408" t="s">
        <v>36</v>
      </c>
      <c r="O19" s="408" t="s">
        <v>36</v>
      </c>
      <c r="P19" s="408" t="s">
        <v>36</v>
      </c>
      <c r="Q19" s="408" t="s">
        <v>36</v>
      </c>
      <c r="R19" s="408" t="s">
        <v>36</v>
      </c>
      <c r="S19" s="412"/>
      <c r="U19" s="522"/>
      <c r="V19" s="385" t="str">
        <f t="shared" si="2"/>
        <v>303/291</v>
      </c>
      <c r="W19" s="385">
        <f t="shared" si="3"/>
        <v>25</v>
      </c>
      <c r="X19" s="167">
        <f t="shared" si="4"/>
        <v>1.0024999999999997</v>
      </c>
      <c r="Y19" s="201">
        <f t="shared" si="0"/>
        <v>3.2188758248682006</v>
      </c>
      <c r="Z19" s="201">
        <f t="shared" si="1"/>
        <v>-5.9914645471080918</v>
      </c>
    </row>
    <row r="20" spans="1:26" ht="12.75" customHeight="1">
      <c r="A20" s="12">
        <v>1997</v>
      </c>
      <c r="B20" s="408">
        <v>1</v>
      </c>
      <c r="C20" s="408">
        <v>0.995</v>
      </c>
      <c r="D20" s="408">
        <v>0.997</v>
      </c>
      <c r="E20" s="408">
        <v>0.998</v>
      </c>
      <c r="F20" s="408">
        <v>1</v>
      </c>
      <c r="G20" s="408" t="s">
        <v>36</v>
      </c>
      <c r="H20" s="408" t="s">
        <v>36</v>
      </c>
      <c r="I20" s="408" t="s">
        <v>36</v>
      </c>
      <c r="J20" s="408" t="s">
        <v>36</v>
      </c>
      <c r="K20" s="408" t="s">
        <v>36</v>
      </c>
      <c r="L20" s="408" t="s">
        <v>36</v>
      </c>
      <c r="M20" s="408" t="s">
        <v>36</v>
      </c>
      <c r="N20" s="408" t="s">
        <v>36</v>
      </c>
      <c r="O20" s="408" t="s">
        <v>36</v>
      </c>
      <c r="P20" s="408" t="s">
        <v>36</v>
      </c>
      <c r="Q20" s="408" t="s">
        <v>36</v>
      </c>
      <c r="R20" s="408" t="s">
        <v>36</v>
      </c>
      <c r="S20" s="412"/>
      <c r="U20" s="522"/>
      <c r="V20" s="385" t="str">
        <f t="shared" si="2"/>
        <v>315/303</v>
      </c>
      <c r="W20" s="385">
        <f t="shared" si="3"/>
        <v>26</v>
      </c>
      <c r="X20" s="167">
        <f t="shared" si="4"/>
        <v>1.0028333333333332</v>
      </c>
      <c r="Y20" s="201">
        <f t="shared" si="0"/>
        <v>3.2580965380214821</v>
      </c>
      <c r="Z20" s="201">
        <f t="shared" si="1"/>
        <v>-5.866301404154008</v>
      </c>
    </row>
    <row r="21" spans="1:26" ht="12.75" customHeight="1">
      <c r="A21" s="12">
        <v>1998</v>
      </c>
      <c r="B21" s="408">
        <v>0.999</v>
      </c>
      <c r="C21" s="408">
        <v>1</v>
      </c>
      <c r="D21" s="408">
        <v>0.996</v>
      </c>
      <c r="E21" s="408">
        <v>1</v>
      </c>
      <c r="F21" s="408" t="s">
        <v>36</v>
      </c>
      <c r="G21" s="408" t="s">
        <v>36</v>
      </c>
      <c r="H21" s="408" t="s">
        <v>36</v>
      </c>
      <c r="I21" s="408" t="s">
        <v>36</v>
      </c>
      <c r="J21" s="408" t="s">
        <v>36</v>
      </c>
      <c r="K21" s="408" t="s">
        <v>36</v>
      </c>
      <c r="L21" s="408" t="s">
        <v>36</v>
      </c>
      <c r="M21" s="408" t="s">
        <v>36</v>
      </c>
      <c r="N21" s="408" t="s">
        <v>36</v>
      </c>
      <c r="O21" s="408" t="s">
        <v>36</v>
      </c>
      <c r="P21" s="408" t="s">
        <v>36</v>
      </c>
      <c r="Q21" s="408" t="s">
        <v>36</v>
      </c>
      <c r="R21" s="408" t="s">
        <v>36</v>
      </c>
      <c r="S21" s="412"/>
      <c r="U21" s="522"/>
      <c r="V21" s="385" t="str">
        <f t="shared" si="2"/>
        <v>327/315</v>
      </c>
      <c r="W21" s="385">
        <f t="shared" si="3"/>
        <v>27</v>
      </c>
      <c r="X21" s="167">
        <f t="shared" si="4"/>
        <v>1.0033333333333332</v>
      </c>
      <c r="Y21" s="201">
        <f t="shared" si="0"/>
        <v>3.2958368660043291</v>
      </c>
      <c r="Z21" s="201">
        <f t="shared" si="1"/>
        <v>-5.7037824746562444</v>
      </c>
    </row>
    <row r="22" spans="1:26" ht="12.75" customHeight="1">
      <c r="A22" s="12">
        <v>1999</v>
      </c>
      <c r="B22" s="408">
        <v>0.998</v>
      </c>
      <c r="C22" s="408">
        <v>0.997</v>
      </c>
      <c r="D22" s="408">
        <v>1.002</v>
      </c>
      <c r="E22" s="408" t="s">
        <v>36</v>
      </c>
      <c r="F22" s="408" t="s">
        <v>36</v>
      </c>
      <c r="G22" s="408" t="s">
        <v>36</v>
      </c>
      <c r="H22" s="408" t="s">
        <v>36</v>
      </c>
      <c r="I22" s="408" t="s">
        <v>36</v>
      </c>
      <c r="J22" s="408" t="s">
        <v>36</v>
      </c>
      <c r="K22" s="408" t="s">
        <v>36</v>
      </c>
      <c r="L22" s="408" t="s">
        <v>36</v>
      </c>
      <c r="M22" s="408" t="s">
        <v>36</v>
      </c>
      <c r="N22" s="408" t="s">
        <v>36</v>
      </c>
      <c r="O22" s="408" t="s">
        <v>36</v>
      </c>
      <c r="P22" s="408" t="s">
        <v>36</v>
      </c>
      <c r="Q22" s="408" t="s">
        <v>36</v>
      </c>
      <c r="R22" s="408" t="s">
        <v>36</v>
      </c>
      <c r="S22" s="412"/>
      <c r="U22" s="522"/>
      <c r="V22" s="385" t="str">
        <f t="shared" si="2"/>
        <v>339/327</v>
      </c>
      <c r="W22" s="385">
        <f t="shared" si="3"/>
        <v>28</v>
      </c>
      <c r="X22" s="167">
        <f t="shared" si="4"/>
        <v>1.0029999999999999</v>
      </c>
      <c r="Y22" s="201">
        <f t="shared" si="0"/>
        <v>3.3322045101752038</v>
      </c>
      <c r="Z22" s="201">
        <f t="shared" si="1"/>
        <v>-5.8091429903140632</v>
      </c>
    </row>
    <row r="23" spans="1:26" ht="12.75" customHeight="1">
      <c r="A23" s="12">
        <v>2000</v>
      </c>
      <c r="B23" s="408">
        <v>0.997</v>
      </c>
      <c r="C23" s="408">
        <v>0.998</v>
      </c>
      <c r="D23" s="408" t="s">
        <v>36</v>
      </c>
      <c r="E23" s="408" t="s">
        <v>36</v>
      </c>
      <c r="F23" s="408" t="s">
        <v>36</v>
      </c>
      <c r="G23" s="408" t="s">
        <v>36</v>
      </c>
      <c r="H23" s="408" t="s">
        <v>36</v>
      </c>
      <c r="I23" s="408" t="s">
        <v>36</v>
      </c>
      <c r="J23" s="408" t="s">
        <v>36</v>
      </c>
      <c r="K23" s="408" t="s">
        <v>36</v>
      </c>
      <c r="L23" s="408" t="s">
        <v>36</v>
      </c>
      <c r="M23" s="408" t="s">
        <v>36</v>
      </c>
      <c r="N23" s="408" t="s">
        <v>36</v>
      </c>
      <c r="O23" s="408" t="s">
        <v>36</v>
      </c>
      <c r="P23" s="408" t="s">
        <v>36</v>
      </c>
      <c r="Q23" s="408" t="s">
        <v>36</v>
      </c>
      <c r="R23" s="408" t="s">
        <v>36</v>
      </c>
      <c r="S23" s="412"/>
      <c r="U23" s="523"/>
      <c r="V23" s="385" t="str">
        <f t="shared" si="2"/>
        <v>351/339</v>
      </c>
      <c r="W23" s="385">
        <f t="shared" si="3"/>
        <v>29</v>
      </c>
      <c r="X23" s="167">
        <f t="shared" si="4"/>
        <v>1.0028333333333332</v>
      </c>
      <c r="Y23" s="201">
        <f t="shared" si="0"/>
        <v>3.3672958299864741</v>
      </c>
      <c r="Z23" s="201">
        <f t="shared" si="1"/>
        <v>-5.866301404154008</v>
      </c>
    </row>
    <row r="24" spans="1:26">
      <c r="A24" s="12">
        <v>2001</v>
      </c>
      <c r="B24" s="408">
        <v>1.002</v>
      </c>
      <c r="C24" s="408" t="s">
        <v>36</v>
      </c>
      <c r="D24" s="408" t="s">
        <v>36</v>
      </c>
      <c r="E24" s="408" t="s">
        <v>36</v>
      </c>
      <c r="F24" s="408" t="s">
        <v>36</v>
      </c>
      <c r="G24" s="408" t="s">
        <v>36</v>
      </c>
      <c r="H24" s="408" t="s">
        <v>36</v>
      </c>
      <c r="I24" s="408" t="s">
        <v>36</v>
      </c>
      <c r="J24" s="408" t="s">
        <v>36</v>
      </c>
      <c r="K24" s="408" t="s">
        <v>36</v>
      </c>
      <c r="L24" s="408" t="s">
        <v>36</v>
      </c>
      <c r="M24" s="408" t="s">
        <v>36</v>
      </c>
      <c r="N24" s="408" t="s">
        <v>36</v>
      </c>
      <c r="O24" s="408" t="s">
        <v>36</v>
      </c>
      <c r="P24" s="408" t="s">
        <v>36</v>
      </c>
      <c r="Q24" s="408" t="s">
        <v>36</v>
      </c>
      <c r="R24" s="408" t="s">
        <v>36</v>
      </c>
      <c r="S24" s="412"/>
      <c r="V24" s="385" t="str">
        <f t="shared" si="2"/>
        <v>363/351</v>
      </c>
      <c r="W24" s="385">
        <f t="shared" si="3"/>
        <v>30</v>
      </c>
      <c r="X24" s="167"/>
      <c r="Y24" s="201">
        <f t="shared" si="0"/>
        <v>3.4011973816621555</v>
      </c>
      <c r="Z24" s="201"/>
    </row>
    <row r="25" spans="1:26">
      <c r="A25" s="14"/>
      <c r="V25" s="385" t="str">
        <f t="shared" si="2"/>
        <v>375/363</v>
      </c>
      <c r="W25" s="385">
        <f t="shared" si="3"/>
        <v>31</v>
      </c>
      <c r="Y25" s="201">
        <f t="shared" si="0"/>
        <v>3.4339872044851463</v>
      </c>
      <c r="Z25" s="415"/>
    </row>
    <row r="26" spans="1:26">
      <c r="A26" s="14" t="s">
        <v>20</v>
      </c>
      <c r="B26" s="13">
        <f>AVERAGE(B19:B24)</f>
        <v>1.0004999999999999</v>
      </c>
      <c r="C26" s="13">
        <f>AVERAGE(C18:C23)</f>
        <v>0.99816666666666665</v>
      </c>
      <c r="D26" s="13">
        <f>AVERAGE(D17:D22)</f>
        <v>1.0013333333333334</v>
      </c>
      <c r="E26" s="13">
        <f>AVERAGE(E16:E21)</f>
        <v>1.0006666666666668</v>
      </c>
      <c r="F26" s="13">
        <f>AVERAGE(F15:F20)</f>
        <v>1</v>
      </c>
      <c r="G26" s="13">
        <f>AVERAGE(G14:G19)</f>
        <v>0.99883333333333335</v>
      </c>
      <c r="H26" s="13">
        <f>AVERAGE(H13:H18)</f>
        <v>0.99966666666666659</v>
      </c>
      <c r="I26" s="13">
        <f>AVERAGE(I12:I17)</f>
        <v>0.9993333333333333</v>
      </c>
      <c r="J26" s="13">
        <f>AVERAGE(J11:J16)</f>
        <v>1.0009999999999999</v>
      </c>
      <c r="K26" s="13">
        <f>AVERAGE(K10:K15)</f>
        <v>1.0008333333333332</v>
      </c>
      <c r="L26" s="13">
        <f>AVERAGE(L9:L14)</f>
        <v>1.0008333333333332</v>
      </c>
      <c r="M26" s="13">
        <f>AVERAGE(M8:M13)</f>
        <v>1.0008333333333332</v>
      </c>
      <c r="N26" s="13">
        <f>AVERAGE(N7:N12)</f>
        <v>1.0001666666666666</v>
      </c>
      <c r="O26" s="13">
        <f>AVERAGE(O6:O11)</f>
        <v>1</v>
      </c>
      <c r="P26" s="13">
        <f>AVERAGE(P6:P10)</f>
        <v>1.0005999999999999</v>
      </c>
      <c r="Q26" s="13">
        <f>AVERAGE(Q6:Q9)</f>
        <v>1.0004999999999999</v>
      </c>
      <c r="R26" s="13">
        <f>AVERAGE(R6:R8)</f>
        <v>1</v>
      </c>
      <c r="T26" s="23"/>
      <c r="V26" s="385" t="str">
        <f t="shared" si="2"/>
        <v>387/375</v>
      </c>
      <c r="W26" s="385">
        <f t="shared" si="3"/>
        <v>32</v>
      </c>
      <c r="Y26" s="201">
        <f t="shared" si="0"/>
        <v>3.4657359027997265</v>
      </c>
      <c r="Z26" s="415"/>
    </row>
    <row r="27" spans="1:26">
      <c r="A27" s="351" t="s">
        <v>21</v>
      </c>
      <c r="B27" s="13">
        <f t="shared" ref="B27:Q27" si="5">B26*C27</f>
        <v>1.0323609743236617</v>
      </c>
      <c r="C27" s="13">
        <f t="shared" si="5"/>
        <v>1.0318450517977629</v>
      </c>
      <c r="D27" s="13">
        <f t="shared" si="5"/>
        <v>1.0337402422418729</v>
      </c>
      <c r="E27" s="13">
        <f t="shared" si="5"/>
        <v>1.0323637572322297</v>
      </c>
      <c r="F27" s="13">
        <f t="shared" si="5"/>
        <v>1.0316759732500629</v>
      </c>
      <c r="G27" s="13">
        <f t="shared" si="5"/>
        <v>1.0316759732500629</v>
      </c>
      <c r="H27" s="13">
        <f t="shared" si="5"/>
        <v>1.0328810010846616</v>
      </c>
      <c r="I27" s="13">
        <f t="shared" si="5"/>
        <v>1.0332254095545133</v>
      </c>
      <c r="J27" s="13">
        <f t="shared" si="5"/>
        <v>1.0339146860118544</v>
      </c>
      <c r="K27" s="13">
        <f t="shared" si="5"/>
        <v>1.0328818042076469</v>
      </c>
      <c r="L27" s="13">
        <f t="shared" si="5"/>
        <v>1.0320217860526031</v>
      </c>
      <c r="M27" s="13">
        <f t="shared" si="5"/>
        <v>1.0311624839826177</v>
      </c>
      <c r="N27" s="13">
        <f t="shared" si="5"/>
        <v>1.0303038974014498</v>
      </c>
      <c r="O27" s="13">
        <f t="shared" si="5"/>
        <v>1.0301322086999998</v>
      </c>
      <c r="P27" s="13">
        <f t="shared" si="5"/>
        <v>1.0301322086999998</v>
      </c>
      <c r="Q27" s="13">
        <f t="shared" si="5"/>
        <v>1.0295144999999999</v>
      </c>
      <c r="R27" s="13">
        <f>R26*S27</f>
        <v>1.0289999999999999</v>
      </c>
      <c r="S27" s="13">
        <f>ROUND(PRODUCT(Z29:Z74),3)</f>
        <v>1.0289999999999999</v>
      </c>
      <c r="V27" s="385" t="str">
        <f t="shared" si="2"/>
        <v>399/387</v>
      </c>
      <c r="W27" s="385">
        <f t="shared" si="3"/>
        <v>33</v>
      </c>
      <c r="Y27" s="201">
        <f t="shared" si="0"/>
        <v>3.4965075614664802</v>
      </c>
      <c r="Z27" s="415"/>
    </row>
    <row r="28" spans="1:26" ht="19.149999999999999" customHeight="1">
      <c r="A28" s="244" t="s">
        <v>26</v>
      </c>
      <c r="B28" s="524" t="s">
        <v>425</v>
      </c>
      <c r="C28" s="524"/>
      <c r="D28" s="524"/>
      <c r="E28" s="524"/>
      <c r="F28" s="524"/>
      <c r="G28" s="524"/>
      <c r="H28" s="524"/>
      <c r="I28" s="524"/>
      <c r="J28" s="524"/>
      <c r="K28" s="524"/>
      <c r="L28" s="524"/>
      <c r="M28" s="524"/>
      <c r="N28" s="524"/>
      <c r="O28" s="524"/>
      <c r="P28" s="524"/>
      <c r="Q28" s="524"/>
      <c r="R28" s="524"/>
      <c r="V28" s="385" t="str">
        <f t="shared" si="2"/>
        <v>411/399</v>
      </c>
      <c r="W28" s="385">
        <f t="shared" si="3"/>
        <v>34</v>
      </c>
      <c r="Y28" s="201">
        <f t="shared" si="0"/>
        <v>3.5263605246161616</v>
      </c>
      <c r="Z28" s="415"/>
    </row>
    <row r="29" spans="1:26" ht="13.15" customHeight="1">
      <c r="B29" s="525" t="s">
        <v>425</v>
      </c>
      <c r="C29" s="525"/>
      <c r="D29" s="525"/>
      <c r="E29" s="525"/>
      <c r="F29" s="525"/>
      <c r="G29" s="525"/>
      <c r="H29" s="525"/>
      <c r="I29" s="525"/>
      <c r="J29" s="525"/>
      <c r="K29" s="525"/>
      <c r="L29" s="525"/>
      <c r="M29" s="525"/>
      <c r="N29" s="525"/>
      <c r="O29" s="525"/>
      <c r="P29" s="525"/>
      <c r="Q29" s="525"/>
      <c r="R29" s="525"/>
      <c r="V29" s="385" t="str">
        <f t="shared" si="2"/>
        <v>423/411</v>
      </c>
      <c r="W29" s="385">
        <f t="shared" si="3"/>
        <v>35</v>
      </c>
      <c r="Y29" s="201">
        <f t="shared" si="0"/>
        <v>3.5553480614894135</v>
      </c>
      <c r="Z29" s="415">
        <f t="shared" ref="Z29:Z74" si="6">(EXP(TREND($Z$4:$Z$23,$Y$4:$Y$23,Y29,TRUE))+1)</f>
        <v>1.0013892562712365</v>
      </c>
    </row>
    <row r="30" spans="1:26" ht="15" customHeight="1">
      <c r="O30" s="16"/>
      <c r="P30" s="16"/>
      <c r="Q30" s="16"/>
      <c r="R30" s="16"/>
      <c r="V30" s="385" t="str">
        <f t="shared" si="2"/>
        <v>435/423</v>
      </c>
      <c r="W30" s="385">
        <f t="shared" si="3"/>
        <v>36</v>
      </c>
      <c r="Y30" s="201">
        <f t="shared" si="0"/>
        <v>3.5835189384561099</v>
      </c>
      <c r="Z30" s="415">
        <f t="shared" si="6"/>
        <v>1.0013129304663166</v>
      </c>
    </row>
    <row r="31" spans="1:26">
      <c r="A31" s="203" t="s">
        <v>519</v>
      </c>
      <c r="B31" s="203" t="str">
        <f t="shared" ref="B31:M31" si="7">B4</f>
        <v>219/207</v>
      </c>
      <c r="C31" s="203" t="str">
        <f t="shared" si="7"/>
        <v>231/219</v>
      </c>
      <c r="D31" s="203" t="str">
        <f t="shared" si="7"/>
        <v>243/231</v>
      </c>
      <c r="E31" s="203" t="str">
        <f t="shared" si="7"/>
        <v>255/243</v>
      </c>
      <c r="F31" s="203" t="str">
        <f t="shared" si="7"/>
        <v>267/255</v>
      </c>
      <c r="G31" s="203" t="str">
        <f t="shared" si="7"/>
        <v>279/267</v>
      </c>
      <c r="H31" s="203" t="str">
        <f t="shared" si="7"/>
        <v>291/279</v>
      </c>
      <c r="I31" s="203" t="str">
        <f t="shared" si="7"/>
        <v>303/291</v>
      </c>
      <c r="J31" s="203" t="str">
        <f t="shared" si="7"/>
        <v>315/303</v>
      </c>
      <c r="K31" s="203" t="str">
        <f t="shared" si="7"/>
        <v>327/315</v>
      </c>
      <c r="L31" s="203" t="str">
        <f t="shared" si="7"/>
        <v>339/327</v>
      </c>
      <c r="M31" s="203" t="str">
        <f t="shared" si="7"/>
        <v>351/339</v>
      </c>
      <c r="V31" s="385" t="str">
        <f t="shared" si="2"/>
        <v>447/435</v>
      </c>
      <c r="W31" s="385">
        <f t="shared" si="3"/>
        <v>37</v>
      </c>
      <c r="Y31" s="201">
        <f t="shared" si="0"/>
        <v>3.6109179126442243</v>
      </c>
      <c r="Z31" s="415">
        <f t="shared" si="6"/>
        <v>1.0012427206587808</v>
      </c>
    </row>
    <row r="32" spans="1:26">
      <c r="A32" s="385" t="s">
        <v>520</v>
      </c>
      <c r="B32" s="13">
        <f>AVERAGE(B16:B21)</f>
        <v>1.0056666666666667</v>
      </c>
      <c r="C32" s="13">
        <f>AVERAGE(C15:C20)</f>
        <v>1.0021666666666667</v>
      </c>
      <c r="D32" s="13">
        <f>AVERAGE(D14:D19)</f>
        <v>1.0056666666666667</v>
      </c>
      <c r="E32" s="13">
        <f>AVERAGE(E13:E18)</f>
        <v>1.0028333333333332</v>
      </c>
      <c r="F32" s="13">
        <f>AVERAGE(F12:F17)</f>
        <v>1.0028333333333332</v>
      </c>
      <c r="G32" s="13">
        <f>AVERAGE(G11:G16)</f>
        <v>1.0026666666666666</v>
      </c>
      <c r="H32" s="13">
        <f>AVERAGE(H10:H15)</f>
        <v>1.0021666666666664</v>
      </c>
      <c r="I32" s="13">
        <f>AVERAGE(I9:I14)</f>
        <v>1.0024999999999997</v>
      </c>
      <c r="J32" s="13">
        <f>AVERAGE(J8:J13)</f>
        <v>1.0028333333333332</v>
      </c>
      <c r="K32" s="13">
        <f>AVERAGE(K7:K12)</f>
        <v>1.0033333333333332</v>
      </c>
      <c r="L32" s="13">
        <f>AVERAGE(L6:L11)</f>
        <v>1.0029999999999999</v>
      </c>
      <c r="M32" s="13">
        <f>AVERAGE(M5:M10)</f>
        <v>1.0028333333333332</v>
      </c>
      <c r="N32" s="203"/>
      <c r="V32" s="385" t="str">
        <f t="shared" si="2"/>
        <v>459/447</v>
      </c>
      <c r="W32" s="385">
        <f t="shared" si="3"/>
        <v>38</v>
      </c>
      <c r="Y32" s="201">
        <f t="shared" si="0"/>
        <v>3.6375861597263857</v>
      </c>
      <c r="Z32" s="415">
        <f t="shared" si="6"/>
        <v>1.0011779907274891</v>
      </c>
    </row>
    <row r="33" spans="1:26">
      <c r="A33" s="345"/>
      <c r="B33" s="13"/>
      <c r="C33" s="13"/>
      <c r="D33" s="13"/>
      <c r="E33" s="13"/>
      <c r="F33" s="13"/>
      <c r="G33" s="13"/>
      <c r="H33" s="13"/>
      <c r="I33" s="13"/>
      <c r="J33" s="13"/>
      <c r="K33" s="13"/>
      <c r="L33" s="13"/>
      <c r="M33" s="13"/>
      <c r="N33" s="13"/>
      <c r="V33" s="385" t="str">
        <f t="shared" si="2"/>
        <v>471/459</v>
      </c>
      <c r="W33" s="385">
        <f t="shared" si="3"/>
        <v>39</v>
      </c>
      <c r="Y33" s="201">
        <f t="shared" si="0"/>
        <v>3.6635616461296463</v>
      </c>
      <c r="Z33" s="415">
        <f t="shared" si="6"/>
        <v>1.0011181851336144</v>
      </c>
    </row>
    <row r="34" spans="1:26">
      <c r="V34" s="385" t="str">
        <f t="shared" si="2"/>
        <v>483/471</v>
      </c>
      <c r="W34" s="385">
        <f t="shared" si="3"/>
        <v>40</v>
      </c>
      <c r="Y34" s="201">
        <f t="shared" si="0"/>
        <v>3.6888794541139363</v>
      </c>
      <c r="Z34" s="415">
        <f t="shared" si="6"/>
        <v>1.0010628169763456</v>
      </c>
    </row>
    <row r="35" spans="1:26">
      <c r="V35" s="385" t="str">
        <f t="shared" si="2"/>
        <v>495/483</v>
      </c>
      <c r="W35" s="385">
        <f t="shared" si="3"/>
        <v>41</v>
      </c>
      <c r="Y35" s="201">
        <f t="shared" si="0"/>
        <v>3.713572066704308</v>
      </c>
      <c r="Z35" s="415">
        <f t="shared" si="6"/>
        <v>1.0010114580639806</v>
      </c>
    </row>
    <row r="36" spans="1:26">
      <c r="V36" s="385" t="str">
        <f t="shared" si="2"/>
        <v>507/495</v>
      </c>
      <c r="W36" s="385">
        <f t="shared" si="3"/>
        <v>42</v>
      </c>
      <c r="Y36" s="201">
        <f t="shared" si="0"/>
        <v>3.7376696182833684</v>
      </c>
      <c r="Z36" s="415">
        <f t="shared" si="6"/>
        <v>1.000963730620958</v>
      </c>
    </row>
    <row r="37" spans="1:26">
      <c r="V37" s="385" t="str">
        <f t="shared" si="2"/>
        <v>519/507</v>
      </c>
      <c r="W37" s="385">
        <f t="shared" si="3"/>
        <v>43</v>
      </c>
      <c r="Y37" s="201">
        <f t="shared" si="0"/>
        <v>3.7612001156935624</v>
      </c>
      <c r="Z37" s="415">
        <f t="shared" si="6"/>
        <v>1.0009193003299039</v>
      </c>
    </row>
    <row r="38" spans="1:26">
      <c r="V38" s="385" t="str">
        <f t="shared" si="2"/>
        <v>531/519</v>
      </c>
      <c r="W38" s="385">
        <f t="shared" si="3"/>
        <v>44</v>
      </c>
      <c r="Y38" s="201">
        <f t="shared" si="0"/>
        <v>3.784189633918261</v>
      </c>
      <c r="Z38" s="415">
        <f t="shared" si="6"/>
        <v>1.0008778704686287</v>
      </c>
    </row>
    <row r="39" spans="1:26">
      <c r="V39" s="385" t="str">
        <f t="shared" si="2"/>
        <v>543/531</v>
      </c>
      <c r="W39" s="385">
        <f t="shared" si="3"/>
        <v>45</v>
      </c>
      <c r="Y39" s="201">
        <f t="shared" si="0"/>
        <v>3.8066624897703196</v>
      </c>
      <c r="Z39" s="415">
        <f t="shared" si="6"/>
        <v>1.0008391769495029</v>
      </c>
    </row>
    <row r="40" spans="1:26">
      <c r="N40" s="167"/>
      <c r="V40" s="385" t="str">
        <f t="shared" si="2"/>
        <v>555/543</v>
      </c>
      <c r="W40" s="385">
        <f t="shared" si="3"/>
        <v>46</v>
      </c>
      <c r="Y40" s="201">
        <f t="shared" si="0"/>
        <v>3.8286413964890951</v>
      </c>
      <c r="Z40" s="415">
        <f t="shared" si="6"/>
        <v>1.0008029841059232</v>
      </c>
    </row>
    <row r="41" spans="1:26">
      <c r="M41" s="167"/>
      <c r="V41" s="385" t="str">
        <f t="shared" si="2"/>
        <v>567/555</v>
      </c>
      <c r="W41" s="385">
        <f t="shared" si="3"/>
        <v>47</v>
      </c>
      <c r="Y41" s="201">
        <f t="shared" si="0"/>
        <v>3.8501476017100584</v>
      </c>
      <c r="Z41" s="415">
        <f t="shared" si="6"/>
        <v>1.0007690810999998</v>
      </c>
    </row>
    <row r="42" spans="1:26">
      <c r="L42" s="167"/>
      <c r="V42" s="385" t="str">
        <f t="shared" si="2"/>
        <v>579/567</v>
      </c>
      <c r="W42" s="385">
        <f t="shared" si="3"/>
        <v>48</v>
      </c>
      <c r="Y42" s="201">
        <f t="shared" si="0"/>
        <v>3.8712010109078911</v>
      </c>
      <c r="Z42" s="415">
        <f t="shared" si="6"/>
        <v>1.0007372788489675</v>
      </c>
    </row>
    <row r="43" spans="1:26">
      <c r="K43" s="167"/>
      <c r="V43" s="385" t="str">
        <f t="shared" si="2"/>
        <v>591/579</v>
      </c>
      <c r="W43" s="385">
        <f t="shared" si="3"/>
        <v>49</v>
      </c>
      <c r="Y43" s="201">
        <f t="shared" si="0"/>
        <v>3.8918202981106265</v>
      </c>
      <c r="Z43" s="415">
        <f t="shared" si="6"/>
        <v>1.0007074073864533</v>
      </c>
    </row>
    <row r="44" spans="1:26">
      <c r="J44" s="167"/>
      <c r="V44" s="385" t="str">
        <f t="shared" si="2"/>
        <v>603/591</v>
      </c>
      <c r="W44" s="385">
        <f t="shared" si="3"/>
        <v>50</v>
      </c>
      <c r="Y44" s="201">
        <f t="shared" si="0"/>
        <v>3.912023005428146</v>
      </c>
      <c r="Z44" s="415">
        <f t="shared" si="6"/>
        <v>1.0006793135896921</v>
      </c>
    </row>
    <row r="45" spans="1:26">
      <c r="I45" s="167"/>
      <c r="V45" s="385" t="str">
        <f t="shared" si="2"/>
        <v>615/603</v>
      </c>
      <c r="W45" s="385">
        <f t="shared" si="3"/>
        <v>51</v>
      </c>
      <c r="Y45" s="201">
        <f t="shared" si="0"/>
        <v>3.9318256327243257</v>
      </c>
      <c r="Z45" s="415">
        <f t="shared" si="6"/>
        <v>1.0006528592158206</v>
      </c>
    </row>
    <row r="46" spans="1:26">
      <c r="H46" s="167"/>
      <c r="V46" s="385" t="str">
        <f t="shared" si="2"/>
        <v>627/615</v>
      </c>
      <c r="W46" s="385">
        <f t="shared" si="3"/>
        <v>52</v>
      </c>
      <c r="Y46" s="201">
        <f t="shared" si="0"/>
        <v>3.9512437185814275</v>
      </c>
      <c r="Z46" s="415">
        <f t="shared" si="6"/>
        <v>1.0006279192001362</v>
      </c>
    </row>
    <row r="47" spans="1:26">
      <c r="G47" s="167"/>
      <c r="V47" s="385" t="str">
        <f t="shared" si="2"/>
        <v>639/627</v>
      </c>
      <c r="W47" s="385">
        <f t="shared" si="3"/>
        <v>53</v>
      </c>
      <c r="Y47" s="201">
        <f t="shared" si="0"/>
        <v>3.970291913552122</v>
      </c>
      <c r="Z47" s="415">
        <f t="shared" si="6"/>
        <v>1.0006043801771294</v>
      </c>
    </row>
    <row r="48" spans="1:26">
      <c r="F48" s="167"/>
      <c r="V48" s="385" t="str">
        <f t="shared" si="2"/>
        <v>651/639</v>
      </c>
      <c r="W48" s="385">
        <f t="shared" si="3"/>
        <v>54</v>
      </c>
      <c r="Y48" s="201">
        <f t="shared" si="0"/>
        <v>3.9889840465642745</v>
      </c>
      <c r="Z48" s="415">
        <f t="shared" si="6"/>
        <v>1.0005821391915821</v>
      </c>
    </row>
    <row r="49" spans="2:26">
      <c r="E49" s="167"/>
      <c r="V49" s="385" t="str">
        <f t="shared" si="2"/>
        <v>663/651</v>
      </c>
      <c r="W49" s="385">
        <f t="shared" si="3"/>
        <v>55</v>
      </c>
      <c r="Y49" s="201">
        <f t="shared" si="0"/>
        <v>4.0073331852324712</v>
      </c>
      <c r="Z49" s="415">
        <f t="shared" si="6"/>
        <v>1.0005611025723162</v>
      </c>
    </row>
    <row r="50" spans="2:26">
      <c r="D50" s="167"/>
      <c r="V50" s="385" t="str">
        <f t="shared" si="2"/>
        <v>675/663</v>
      </c>
      <c r="W50" s="385">
        <f t="shared" si="3"/>
        <v>56</v>
      </c>
      <c r="Y50" s="201">
        <f t="shared" si="0"/>
        <v>4.0253516907351496</v>
      </c>
      <c r="Z50" s="415">
        <f t="shared" si="6"/>
        <v>1.0005411849455577</v>
      </c>
    </row>
    <row r="51" spans="2:26">
      <c r="C51" s="167"/>
      <c r="V51" s="385" t="str">
        <f t="shared" si="2"/>
        <v>687/675</v>
      </c>
      <c r="W51" s="385">
        <f t="shared" si="3"/>
        <v>57</v>
      </c>
      <c r="Y51" s="201">
        <f t="shared" si="0"/>
        <v>4.0430512678345503</v>
      </c>
      <c r="Z51" s="415">
        <f t="shared" si="6"/>
        <v>1.0005223083684818</v>
      </c>
    </row>
    <row r="52" spans="2:26">
      <c r="B52" s="167"/>
      <c r="V52" s="385" t="str">
        <f t="shared" si="2"/>
        <v>699/687</v>
      </c>
      <c r="W52" s="385">
        <f t="shared" si="3"/>
        <v>58</v>
      </c>
      <c r="Y52" s="201">
        <f t="shared" si="0"/>
        <v>4.0604430105464191</v>
      </c>
      <c r="Z52" s="415">
        <f t="shared" si="6"/>
        <v>1.0005044015664952</v>
      </c>
    </row>
    <row r="53" spans="2:26">
      <c r="V53" s="385" t="str">
        <f t="shared" si="2"/>
        <v>711/699</v>
      </c>
      <c r="W53" s="385">
        <f t="shared" si="3"/>
        <v>59</v>
      </c>
      <c r="Y53" s="201">
        <f t="shared" si="0"/>
        <v>4.0775374439057197</v>
      </c>
      <c r="Z53" s="415">
        <f t="shared" si="6"/>
        <v>1.0004873992603036</v>
      </c>
    </row>
    <row r="54" spans="2:26">
      <c r="V54" s="385" t="str">
        <f t="shared" si="2"/>
        <v>723/711</v>
      </c>
      <c r="W54" s="385">
        <f t="shared" si="3"/>
        <v>60</v>
      </c>
      <c r="Y54" s="201">
        <f t="shared" si="0"/>
        <v>4.0943445622221004</v>
      </c>
      <c r="Z54" s="415">
        <f t="shared" si="6"/>
        <v>1.000471241570885</v>
      </c>
    </row>
    <row r="55" spans="2:26">
      <c r="V55" s="385" t="str">
        <f t="shared" si="2"/>
        <v>735/723</v>
      </c>
      <c r="W55" s="385">
        <f t="shared" si="3"/>
        <v>61</v>
      </c>
      <c r="Y55" s="201">
        <f t="shared" si="0"/>
        <v>4.1108738641733114</v>
      </c>
      <c r="Z55" s="415">
        <f t="shared" si="6"/>
        <v>1.0004558734922293</v>
      </c>
    </row>
    <row r="56" spans="2:26">
      <c r="V56" s="385" t="str">
        <f t="shared" si="2"/>
        <v>747/735</v>
      </c>
      <c r="W56" s="385">
        <f t="shared" si="3"/>
        <v>62</v>
      </c>
      <c r="Y56" s="201">
        <f t="shared" si="0"/>
        <v>4.1271343850450917</v>
      </c>
      <c r="Z56" s="415">
        <f t="shared" si="6"/>
        <v>1.0004412444231698</v>
      </c>
    </row>
    <row r="57" spans="2:26">
      <c r="V57" s="385" t="str">
        <f t="shared" si="2"/>
        <v>759/747</v>
      </c>
      <c r="W57" s="385">
        <f t="shared" si="3"/>
        <v>63</v>
      </c>
      <c r="Y57" s="201">
        <f t="shared" si="0"/>
        <v>4.1431347263915326</v>
      </c>
      <c r="Z57" s="415">
        <f t="shared" si="6"/>
        <v>1.0004273077508525</v>
      </c>
    </row>
    <row r="58" spans="2:26">
      <c r="V58" s="385" t="str">
        <f t="shared" si="2"/>
        <v>771/759</v>
      </c>
      <c r="W58" s="385">
        <f t="shared" si="3"/>
        <v>64</v>
      </c>
      <c r="Y58" s="201">
        <f t="shared" si="0"/>
        <v>4.1588830833596715</v>
      </c>
      <c r="Z58" s="415">
        <f t="shared" si="6"/>
        <v>1.0004140204794394</v>
      </c>
    </row>
    <row r="59" spans="2:26">
      <c r="V59" s="385" t="str">
        <f t="shared" si="2"/>
        <v>783/771</v>
      </c>
      <c r="W59" s="385">
        <f t="shared" si="3"/>
        <v>65</v>
      </c>
      <c r="Y59" s="201">
        <f t="shared" si="0"/>
        <v>4.1743872698956368</v>
      </c>
      <c r="Z59" s="415">
        <f t="shared" si="6"/>
        <v>1.0004013428985183</v>
      </c>
    </row>
    <row r="60" spans="2:26">
      <c r="V60" s="385" t="str">
        <f t="shared" si="2"/>
        <v>795/783</v>
      </c>
      <c r="W60" s="385">
        <f t="shared" si="3"/>
        <v>66</v>
      </c>
      <c r="Y60" s="201">
        <f t="shared" si="0"/>
        <v>4.1896547420264252</v>
      </c>
      <c r="Z60" s="415">
        <f t="shared" si="6"/>
        <v>1.0003892382864381</v>
      </c>
    </row>
    <row r="61" spans="2:26">
      <c r="V61" s="385" t="str">
        <f t="shared" si="2"/>
        <v>807/795</v>
      </c>
      <c r="W61" s="385">
        <f t="shared" si="3"/>
        <v>67</v>
      </c>
      <c r="Y61" s="201">
        <f t="shared" si="0"/>
        <v>4.2046926193909657</v>
      </c>
      <c r="Z61" s="415">
        <f t="shared" si="6"/>
        <v>1.000377672644428</v>
      </c>
    </row>
    <row r="62" spans="2:26">
      <c r="V62" s="385" t="str">
        <f t="shared" si="2"/>
        <v>819/807</v>
      </c>
      <c r="W62" s="385">
        <f t="shared" si="3"/>
        <v>68</v>
      </c>
      <c r="Y62" s="201">
        <f t="shared" si="0"/>
        <v>4.219507705176107</v>
      </c>
      <c r="Z62" s="415">
        <f t="shared" si="6"/>
        <v>1.0003666144579069</v>
      </c>
    </row>
    <row r="63" spans="2:26">
      <c r="V63" s="385" t="str">
        <f t="shared" si="2"/>
        <v>831/819</v>
      </c>
      <c r="W63" s="385">
        <f t="shared" si="3"/>
        <v>69</v>
      </c>
      <c r="Y63" s="201">
        <f t="shared" si="0"/>
        <v>4.2341065045972597</v>
      </c>
      <c r="Z63" s="415">
        <f t="shared" si="6"/>
        <v>1.0003560344818465</v>
      </c>
    </row>
    <row r="64" spans="2:26">
      <c r="V64" s="385" t="str">
        <f t="shared" si="2"/>
        <v>843/831</v>
      </c>
      <c r="W64" s="385">
        <f t="shared" si="3"/>
        <v>70</v>
      </c>
      <c r="Y64" s="201">
        <f t="shared" si="0"/>
        <v>4.2484952420493594</v>
      </c>
      <c r="Z64" s="415">
        <f t="shared" si="6"/>
        <v>1.0003459055474615</v>
      </c>
    </row>
    <row r="65" spans="22:26">
      <c r="V65" s="385" t="str">
        <f t="shared" si="2"/>
        <v>855/843</v>
      </c>
      <c r="W65" s="385">
        <f t="shared" si="3"/>
        <v>71</v>
      </c>
      <c r="Y65" s="201">
        <f t="shared" si="0"/>
        <v>4.2626798770413155</v>
      </c>
      <c r="Z65" s="415">
        <f t="shared" si="6"/>
        <v>1.0003362023878375</v>
      </c>
    </row>
    <row r="66" spans="22:26">
      <c r="V66" s="385" t="str">
        <f t="shared" si="2"/>
        <v>867/855</v>
      </c>
      <c r="W66" s="385">
        <f t="shared" si="3"/>
        <v>72</v>
      </c>
      <c r="Y66" s="201">
        <f t="shared" si="0"/>
        <v>4.2766661190160553</v>
      </c>
      <c r="Z66" s="415">
        <f t="shared" si="6"/>
        <v>1.0003269014804057</v>
      </c>
    </row>
    <row r="67" spans="22:26">
      <c r="V67" s="385" t="str">
        <f t="shared" si="2"/>
        <v>879/867</v>
      </c>
      <c r="W67" s="385">
        <f t="shared" si="3"/>
        <v>73</v>
      </c>
      <c r="Y67" s="201">
        <f t="shared" si="0"/>
        <v>4.290459441148391</v>
      </c>
      <c r="Z67" s="415">
        <f t="shared" si="6"/>
        <v>1.0003179809044294</v>
      </c>
    </row>
    <row r="68" spans="22:26">
      <c r="V68" s="385" t="str">
        <f t="shared" si="2"/>
        <v>891/879</v>
      </c>
      <c r="W68" s="385">
        <f t="shared" si="3"/>
        <v>74</v>
      </c>
      <c r="Y68" s="201">
        <f t="shared" si="0"/>
        <v>4.3040650932041702</v>
      </c>
      <c r="Z68" s="415">
        <f t="shared" si="6"/>
        <v>1.0003094202118912</v>
      </c>
    </row>
    <row r="69" spans="22:26">
      <c r="V69" s="385" t="str">
        <f t="shared" si="2"/>
        <v>903/891</v>
      </c>
      <c r="W69" s="385">
        <f t="shared" si="3"/>
        <v>75</v>
      </c>
      <c r="Y69" s="201">
        <f t="shared" ref="Y69:Y74" si="8">LN(W69)</f>
        <v>4.3174881135363101</v>
      </c>
      <c r="Z69" s="415">
        <f t="shared" si="6"/>
        <v>1.0003012003103589</v>
      </c>
    </row>
    <row r="70" spans="22:26">
      <c r="V70" s="385" t="str">
        <f t="shared" ref="V70:V74" si="9">LEFT(V69,3)+12&amp;"/"&amp;LEFT(V69,3)</f>
        <v>915/903</v>
      </c>
      <c r="W70" s="385">
        <f t="shared" ref="W70:W74" si="10">+W69+1</f>
        <v>76</v>
      </c>
      <c r="Y70" s="201">
        <f t="shared" si="8"/>
        <v>4.3307333402863311</v>
      </c>
      <c r="Z70" s="415">
        <f t="shared" si="6"/>
        <v>1.0002933033565751</v>
      </c>
    </row>
    <row r="71" spans="22:26">
      <c r="V71" s="385" t="str">
        <f t="shared" si="9"/>
        <v>927/915</v>
      </c>
      <c r="W71" s="385">
        <f t="shared" si="10"/>
        <v>77</v>
      </c>
      <c r="Y71" s="201">
        <f t="shared" si="8"/>
        <v>4.3438054218536841</v>
      </c>
      <c r="Z71" s="415">
        <f t="shared" si="6"/>
        <v>1.0002857126596674</v>
      </c>
    </row>
    <row r="72" spans="22:26">
      <c r="V72" s="385" t="str">
        <f t="shared" si="9"/>
        <v>939/927</v>
      </c>
      <c r="W72" s="385">
        <f t="shared" si="10"/>
        <v>78</v>
      </c>
      <c r="Y72" s="201">
        <f t="shared" si="8"/>
        <v>4.3567088266895917</v>
      </c>
      <c r="Z72" s="415">
        <f t="shared" si="6"/>
        <v>1.0002784125929927</v>
      </c>
    </row>
    <row r="73" spans="22:26">
      <c r="V73" s="385" t="str">
        <f t="shared" si="9"/>
        <v>951/939</v>
      </c>
      <c r="W73" s="385">
        <f t="shared" si="10"/>
        <v>79</v>
      </c>
      <c r="Y73" s="201">
        <f t="shared" si="8"/>
        <v>4.3694478524670215</v>
      </c>
      <c r="Z73" s="415">
        <f t="shared" si="6"/>
        <v>1.0002713885137509</v>
      </c>
    </row>
    <row r="74" spans="22:26">
      <c r="V74" s="385" t="str">
        <f t="shared" si="9"/>
        <v>963/951</v>
      </c>
      <c r="W74" s="385">
        <f t="shared" si="10"/>
        <v>80</v>
      </c>
      <c r="Y74" s="201">
        <f t="shared" si="8"/>
        <v>4.3820266346738812</v>
      </c>
      <c r="Z74" s="415">
        <f t="shared" si="6"/>
        <v>1.0002646266895934</v>
      </c>
    </row>
  </sheetData>
  <mergeCells count="6">
    <mergeCell ref="A1:R1"/>
    <mergeCell ref="B3:R3"/>
    <mergeCell ref="B28:R29"/>
    <mergeCell ref="V2:Z2"/>
    <mergeCell ref="U4:U11"/>
    <mergeCell ref="U12:U23"/>
  </mergeCells>
  <pageMargins left="0.7" right="0.7" top="0.75" bottom="0.75" header="0.3" footer="0.3"/>
  <pageSetup scale="7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67"/>
  <sheetViews>
    <sheetView workbookViewId="0">
      <selection sqref="A1:Q1"/>
    </sheetView>
  </sheetViews>
  <sheetFormatPr defaultColWidth="9.140625" defaultRowHeight="12.75"/>
  <cols>
    <col min="1" max="1" width="18.5703125" style="136" customWidth="1"/>
    <col min="2" max="17" width="8.28515625" style="136" customWidth="1"/>
    <col min="18" max="16384" width="9.140625" style="136"/>
  </cols>
  <sheetData>
    <row r="1" spans="1:17" ht="13.15" customHeight="1">
      <c r="A1" s="531" t="s">
        <v>31</v>
      </c>
      <c r="B1" s="531"/>
      <c r="C1" s="531"/>
      <c r="D1" s="531"/>
      <c r="E1" s="531"/>
      <c r="F1" s="531"/>
      <c r="G1" s="531"/>
      <c r="H1" s="531"/>
      <c r="I1" s="531"/>
      <c r="J1" s="531"/>
      <c r="K1" s="531"/>
      <c r="L1" s="531"/>
      <c r="M1" s="531"/>
      <c r="N1" s="531"/>
      <c r="O1" s="531"/>
      <c r="P1" s="531"/>
      <c r="Q1" s="531"/>
    </row>
    <row r="2" spans="1:17" ht="13.15" customHeight="1">
      <c r="A2" s="151"/>
      <c r="B2" s="237"/>
      <c r="C2" s="151"/>
      <c r="D2" s="151"/>
      <c r="E2" s="151"/>
      <c r="F2" s="151"/>
      <c r="G2" s="151"/>
      <c r="H2" s="151"/>
      <c r="I2" s="151"/>
      <c r="J2" s="151"/>
      <c r="K2" s="151"/>
      <c r="L2" s="151"/>
      <c r="M2" s="151"/>
      <c r="N2" s="151"/>
      <c r="O2" s="151"/>
      <c r="P2" s="151"/>
      <c r="Q2" s="151"/>
    </row>
    <row r="3" spans="1:17" ht="13.15" customHeight="1">
      <c r="A3" s="151"/>
      <c r="B3" s="516" t="s">
        <v>18</v>
      </c>
      <c r="C3" s="516"/>
      <c r="D3" s="516"/>
      <c r="E3" s="516"/>
      <c r="F3" s="516"/>
      <c r="G3" s="516"/>
      <c r="H3" s="516"/>
      <c r="I3" s="516"/>
      <c r="J3" s="516"/>
      <c r="K3" s="516"/>
      <c r="L3" s="516"/>
      <c r="M3" s="516"/>
      <c r="N3" s="516"/>
      <c r="O3" s="516"/>
      <c r="P3" s="516"/>
      <c r="Q3" s="516"/>
    </row>
    <row r="4" spans="1:17" ht="13.15" customHeight="1">
      <c r="A4" s="11" t="s">
        <v>19</v>
      </c>
      <c r="B4" s="407" t="s">
        <v>435</v>
      </c>
      <c r="C4" s="407" t="s">
        <v>436</v>
      </c>
      <c r="D4" s="407" t="s">
        <v>437</v>
      </c>
      <c r="E4" s="407" t="s">
        <v>438</v>
      </c>
      <c r="F4" s="407" t="s">
        <v>439</v>
      </c>
      <c r="G4" s="407" t="s">
        <v>440</v>
      </c>
      <c r="H4" s="407" t="s">
        <v>441</v>
      </c>
      <c r="I4" s="407" t="s">
        <v>442</v>
      </c>
      <c r="J4" s="407" t="s">
        <v>443</v>
      </c>
      <c r="K4" s="407" t="s">
        <v>444</v>
      </c>
      <c r="L4" s="407" t="s">
        <v>445</v>
      </c>
      <c r="M4" s="407" t="s">
        <v>446</v>
      </c>
      <c r="N4" s="407" t="s">
        <v>447</v>
      </c>
      <c r="O4" s="407" t="s">
        <v>448</v>
      </c>
      <c r="P4" s="407" t="s">
        <v>449</v>
      </c>
      <c r="Q4" s="407" t="s">
        <v>450</v>
      </c>
    </row>
    <row r="5" spans="1:17" ht="13.15" customHeight="1">
      <c r="A5" s="12">
        <v>1993</v>
      </c>
      <c r="B5" s="407"/>
      <c r="C5" s="407"/>
      <c r="D5" s="407"/>
      <c r="E5" s="407"/>
      <c r="F5" s="407"/>
      <c r="G5" s="407"/>
      <c r="H5" s="407"/>
      <c r="I5" s="407"/>
      <c r="J5" s="407"/>
      <c r="K5" s="407"/>
      <c r="L5" s="407"/>
      <c r="M5" s="407"/>
      <c r="N5" s="407"/>
      <c r="O5" s="407"/>
      <c r="P5" s="407"/>
      <c r="Q5" s="408">
        <v>1.002</v>
      </c>
    </row>
    <row r="6" spans="1:17" ht="13.15" customHeight="1">
      <c r="A6" s="12">
        <v>1994</v>
      </c>
      <c r="B6" s="408" t="s">
        <v>36</v>
      </c>
      <c r="C6" s="408" t="s">
        <v>36</v>
      </c>
      <c r="D6" s="408" t="s">
        <v>36</v>
      </c>
      <c r="E6" s="408" t="s">
        <v>36</v>
      </c>
      <c r="F6" s="408" t="s">
        <v>36</v>
      </c>
      <c r="G6" s="408" t="s">
        <v>36</v>
      </c>
      <c r="H6" s="408">
        <v>1.028</v>
      </c>
      <c r="I6" s="408">
        <v>1.0189999999999999</v>
      </c>
      <c r="J6" s="408">
        <v>1.0169999999999999</v>
      </c>
      <c r="K6" s="408">
        <v>1.01</v>
      </c>
      <c r="L6" s="408">
        <v>1.0089999999999999</v>
      </c>
      <c r="M6" s="408">
        <v>1.008</v>
      </c>
      <c r="N6" s="408">
        <v>1.006</v>
      </c>
      <c r="O6" s="408">
        <v>1.0049999999999999</v>
      </c>
      <c r="P6" s="408">
        <v>1.0029999999999999</v>
      </c>
      <c r="Q6" s="408">
        <v>1.0029999999999999</v>
      </c>
    </row>
    <row r="7" spans="1:17" ht="13.15" customHeight="1">
      <c r="A7" s="12">
        <v>1995</v>
      </c>
      <c r="B7" s="408" t="s">
        <v>36</v>
      </c>
      <c r="C7" s="408" t="s">
        <v>36</v>
      </c>
      <c r="D7" s="408" t="s">
        <v>36</v>
      </c>
      <c r="E7" s="408" t="s">
        <v>36</v>
      </c>
      <c r="F7" s="408" t="s">
        <v>36</v>
      </c>
      <c r="G7" s="408">
        <v>1.044</v>
      </c>
      <c r="H7" s="408">
        <v>1.03</v>
      </c>
      <c r="I7" s="408">
        <v>1.0209999999999999</v>
      </c>
      <c r="J7" s="408">
        <v>1.0129999999999999</v>
      </c>
      <c r="K7" s="408">
        <v>1.0129999999999999</v>
      </c>
      <c r="L7" s="408">
        <v>1.01</v>
      </c>
      <c r="M7" s="408">
        <v>1.008</v>
      </c>
      <c r="N7" s="408">
        <v>1.0069999999999999</v>
      </c>
      <c r="O7" s="408">
        <v>1.006</v>
      </c>
      <c r="P7" s="408">
        <v>1.004</v>
      </c>
      <c r="Q7" s="408">
        <v>1.004</v>
      </c>
    </row>
    <row r="8" spans="1:17" ht="13.15" customHeight="1">
      <c r="A8" s="12">
        <v>1996</v>
      </c>
      <c r="B8" s="408" t="s">
        <v>36</v>
      </c>
      <c r="C8" s="408" t="s">
        <v>36</v>
      </c>
      <c r="D8" s="408" t="s">
        <v>36</v>
      </c>
      <c r="E8" s="408" t="s">
        <v>36</v>
      </c>
      <c r="F8" s="408">
        <v>1.0669999999999999</v>
      </c>
      <c r="G8" s="408">
        <v>1.044</v>
      </c>
      <c r="H8" s="408">
        <v>1.034</v>
      </c>
      <c r="I8" s="408">
        <v>1.0249999999999999</v>
      </c>
      <c r="J8" s="408">
        <v>1.018</v>
      </c>
      <c r="K8" s="408">
        <v>1.0129999999999999</v>
      </c>
      <c r="L8" s="408">
        <v>1.0109999999999999</v>
      </c>
      <c r="M8" s="408">
        <v>1.0089999999999999</v>
      </c>
      <c r="N8" s="408">
        <v>1.0069999999999999</v>
      </c>
      <c r="O8" s="408">
        <v>1.004</v>
      </c>
      <c r="P8" s="408">
        <v>1.0049999999999999</v>
      </c>
      <c r="Q8" s="408">
        <v>1.004</v>
      </c>
    </row>
    <row r="9" spans="1:17" ht="13.15" customHeight="1">
      <c r="A9" s="12">
        <v>1997</v>
      </c>
      <c r="B9" s="408" t="s">
        <v>36</v>
      </c>
      <c r="C9" s="408" t="s">
        <v>36</v>
      </c>
      <c r="D9" s="408" t="s">
        <v>36</v>
      </c>
      <c r="E9" s="408">
        <v>1.1180000000000001</v>
      </c>
      <c r="F9" s="408">
        <v>1.071</v>
      </c>
      <c r="G9" s="408">
        <v>1.05</v>
      </c>
      <c r="H9" s="408">
        <v>1.03</v>
      </c>
      <c r="I9" s="408">
        <v>1.0249999999999999</v>
      </c>
      <c r="J9" s="408">
        <v>1.0169999999999999</v>
      </c>
      <c r="K9" s="408">
        <v>1.0149999999999999</v>
      </c>
      <c r="L9" s="408">
        <v>1.0109999999999999</v>
      </c>
      <c r="M9" s="408">
        <v>1.0069999999999999</v>
      </c>
      <c r="N9" s="408">
        <v>1.0069999999999999</v>
      </c>
      <c r="O9" s="408">
        <v>1.006</v>
      </c>
      <c r="P9" s="408">
        <v>1.0049999999999999</v>
      </c>
      <c r="Q9" s="408">
        <v>1.0049999999999999</v>
      </c>
    </row>
    <row r="10" spans="1:17" ht="13.15" customHeight="1">
      <c r="A10" s="12">
        <v>1998</v>
      </c>
      <c r="B10" s="408" t="s">
        <v>36</v>
      </c>
      <c r="C10" s="408" t="s">
        <v>36</v>
      </c>
      <c r="D10" s="408">
        <v>1.23</v>
      </c>
      <c r="E10" s="408">
        <v>1.1160000000000001</v>
      </c>
      <c r="F10" s="408">
        <v>1.0760000000000001</v>
      </c>
      <c r="G10" s="408">
        <v>1.0509999999999999</v>
      </c>
      <c r="H10" s="408">
        <v>1.0329999999999999</v>
      </c>
      <c r="I10" s="408">
        <v>1.0249999999999999</v>
      </c>
      <c r="J10" s="408">
        <v>1.018</v>
      </c>
      <c r="K10" s="408">
        <v>1.016</v>
      </c>
      <c r="L10" s="408">
        <v>1.0089999999999999</v>
      </c>
      <c r="M10" s="408">
        <v>1.0089999999999999</v>
      </c>
      <c r="N10" s="408">
        <v>1.008</v>
      </c>
      <c r="O10" s="408">
        <v>1.0069999999999999</v>
      </c>
      <c r="P10" s="408">
        <v>1.006</v>
      </c>
      <c r="Q10" s="408">
        <v>1.006</v>
      </c>
    </row>
    <row r="11" spans="1:17" ht="13.15" customHeight="1">
      <c r="A11" s="12">
        <v>1999</v>
      </c>
      <c r="B11" s="408" t="s">
        <v>36</v>
      </c>
      <c r="C11" s="408">
        <v>1.5589999999999999</v>
      </c>
      <c r="D11" s="408">
        <v>1.2310000000000001</v>
      </c>
      <c r="E11" s="408">
        <v>1.133</v>
      </c>
      <c r="F11" s="408">
        <v>1.079</v>
      </c>
      <c r="G11" s="408">
        <v>1.0489999999999999</v>
      </c>
      <c r="H11" s="408">
        <v>1.0329999999999999</v>
      </c>
      <c r="I11" s="408">
        <v>1.0209999999999999</v>
      </c>
      <c r="J11" s="408">
        <v>1.018</v>
      </c>
      <c r="K11" s="408">
        <v>1.014</v>
      </c>
      <c r="L11" s="408">
        <v>1.01</v>
      </c>
      <c r="M11" s="408">
        <v>1.0089999999999999</v>
      </c>
      <c r="N11" s="408">
        <v>1.008</v>
      </c>
      <c r="O11" s="408">
        <v>1.006</v>
      </c>
      <c r="P11" s="408">
        <v>1.006</v>
      </c>
      <c r="Q11" s="408">
        <v>1.0049999999999999</v>
      </c>
    </row>
    <row r="12" spans="1:17" ht="13.15" customHeight="1">
      <c r="A12" s="12">
        <v>2000</v>
      </c>
      <c r="B12" s="408">
        <v>2.746</v>
      </c>
      <c r="C12" s="408">
        <v>1.57</v>
      </c>
      <c r="D12" s="408">
        <v>1.2589999999999999</v>
      </c>
      <c r="E12" s="408">
        <v>1.1299999999999999</v>
      </c>
      <c r="F12" s="408">
        <v>1.0780000000000001</v>
      </c>
      <c r="G12" s="408">
        <v>1.046</v>
      </c>
      <c r="H12" s="408">
        <v>1.03</v>
      </c>
      <c r="I12" s="408">
        <v>1.022</v>
      </c>
      <c r="J12" s="408">
        <v>1.0149999999999999</v>
      </c>
      <c r="K12" s="408">
        <v>1.012</v>
      </c>
      <c r="L12" s="408">
        <v>1.01</v>
      </c>
      <c r="M12" s="408">
        <v>1.0089999999999999</v>
      </c>
      <c r="N12" s="408">
        <v>1.0069999999999999</v>
      </c>
      <c r="O12" s="408">
        <v>1.0069999999999999</v>
      </c>
      <c r="P12" s="408">
        <v>1.004</v>
      </c>
      <c r="Q12" s="408">
        <v>1.004</v>
      </c>
    </row>
    <row r="13" spans="1:17" ht="13.15" customHeight="1">
      <c r="A13" s="12">
        <v>2001</v>
      </c>
      <c r="B13" s="408">
        <v>2.76</v>
      </c>
      <c r="C13" s="408">
        <v>1.63</v>
      </c>
      <c r="D13" s="408">
        <v>1.2629999999999999</v>
      </c>
      <c r="E13" s="408">
        <v>1.119</v>
      </c>
      <c r="F13" s="408">
        <v>1.07</v>
      </c>
      <c r="G13" s="408">
        <v>1.0449999999999999</v>
      </c>
      <c r="H13" s="408">
        <v>1.03</v>
      </c>
      <c r="I13" s="408">
        <v>1.022</v>
      </c>
      <c r="J13" s="408">
        <v>1.016</v>
      </c>
      <c r="K13" s="408">
        <v>1.014</v>
      </c>
      <c r="L13" s="408">
        <v>1.0109999999999999</v>
      </c>
      <c r="M13" s="408">
        <v>1.0109999999999999</v>
      </c>
      <c r="N13" s="408">
        <v>1.008</v>
      </c>
      <c r="O13" s="408">
        <v>1.0069999999999999</v>
      </c>
      <c r="P13" s="408">
        <v>1.006</v>
      </c>
      <c r="Q13" s="408">
        <v>1.0049999999999999</v>
      </c>
    </row>
    <row r="14" spans="1:17" ht="13.15" customHeight="1">
      <c r="A14" s="12">
        <v>2002</v>
      </c>
      <c r="B14" s="408">
        <v>2.786</v>
      </c>
      <c r="C14" s="408">
        <v>1.6080000000000001</v>
      </c>
      <c r="D14" s="408">
        <v>1.2290000000000001</v>
      </c>
      <c r="E14" s="408">
        <v>1.111</v>
      </c>
      <c r="F14" s="408">
        <v>1.0649999999999999</v>
      </c>
      <c r="G14" s="408">
        <v>1.0429999999999999</v>
      </c>
      <c r="H14" s="408">
        <v>1.028</v>
      </c>
      <c r="I14" s="408">
        <v>1.0189999999999999</v>
      </c>
      <c r="J14" s="408">
        <v>1.018</v>
      </c>
      <c r="K14" s="408">
        <v>1.014</v>
      </c>
      <c r="L14" s="408">
        <v>1.012</v>
      </c>
      <c r="M14" s="408">
        <v>1.0089999999999999</v>
      </c>
      <c r="N14" s="408">
        <v>1.0069999999999999</v>
      </c>
      <c r="O14" s="408">
        <v>1.006</v>
      </c>
      <c r="P14" s="408">
        <v>1.0049999999999999</v>
      </c>
      <c r="Q14" s="408">
        <v>1.0049999999999999</v>
      </c>
    </row>
    <row r="15" spans="1:17" ht="13.15" customHeight="1">
      <c r="A15" s="12">
        <v>2003</v>
      </c>
      <c r="B15" s="408">
        <v>2.6379999999999999</v>
      </c>
      <c r="C15" s="408">
        <v>1.5329999999999999</v>
      </c>
      <c r="D15" s="408">
        <v>1.206</v>
      </c>
      <c r="E15" s="408">
        <v>1.109</v>
      </c>
      <c r="F15" s="408">
        <v>1.0640000000000001</v>
      </c>
      <c r="G15" s="408">
        <v>1.0389999999999999</v>
      </c>
      <c r="H15" s="408">
        <v>1.0289999999999999</v>
      </c>
      <c r="I15" s="408">
        <v>1.0249999999999999</v>
      </c>
      <c r="J15" s="408">
        <v>1.022</v>
      </c>
      <c r="K15" s="408">
        <v>1.02</v>
      </c>
      <c r="L15" s="408">
        <v>1.0149999999999999</v>
      </c>
      <c r="M15" s="408">
        <v>1.01</v>
      </c>
      <c r="N15" s="408">
        <v>1.0089999999999999</v>
      </c>
      <c r="O15" s="408">
        <v>1.008</v>
      </c>
      <c r="P15" s="408">
        <v>1.0069999999999999</v>
      </c>
      <c r="Q15" s="408" t="s">
        <v>36</v>
      </c>
    </row>
    <row r="16" spans="1:17" ht="13.15" customHeight="1">
      <c r="A16" s="12">
        <v>2004</v>
      </c>
      <c r="B16" s="408">
        <v>2.2290000000000001</v>
      </c>
      <c r="C16" s="408">
        <v>1.4259999999999999</v>
      </c>
      <c r="D16" s="408">
        <v>1.1910000000000001</v>
      </c>
      <c r="E16" s="408">
        <v>1.1020000000000001</v>
      </c>
      <c r="F16" s="408">
        <v>1.0669999999999999</v>
      </c>
      <c r="G16" s="408">
        <v>1.0449999999999999</v>
      </c>
      <c r="H16" s="408">
        <v>1.0409999999999999</v>
      </c>
      <c r="I16" s="408">
        <v>1.034</v>
      </c>
      <c r="J16" s="408">
        <v>1.026</v>
      </c>
      <c r="K16" s="408">
        <v>1.018</v>
      </c>
      <c r="L16" s="408">
        <v>1.014</v>
      </c>
      <c r="M16" s="408">
        <v>1.0109999999999999</v>
      </c>
      <c r="N16" s="408">
        <v>1.008</v>
      </c>
      <c r="O16" s="408">
        <v>1.008</v>
      </c>
      <c r="P16" s="408" t="s">
        <v>36</v>
      </c>
      <c r="Q16" s="408" t="s">
        <v>36</v>
      </c>
    </row>
    <row r="17" spans="1:17" ht="13.15" customHeight="1">
      <c r="A17" s="12">
        <v>2005</v>
      </c>
      <c r="B17" s="408">
        <v>2.1379999999999999</v>
      </c>
      <c r="C17" s="408">
        <v>1.41</v>
      </c>
      <c r="D17" s="408">
        <v>1.2</v>
      </c>
      <c r="E17" s="408">
        <v>1.1040000000000001</v>
      </c>
      <c r="F17" s="408">
        <v>1.073</v>
      </c>
      <c r="G17" s="408">
        <v>1.0569999999999999</v>
      </c>
      <c r="H17" s="408">
        <v>1.048</v>
      </c>
      <c r="I17" s="408">
        <v>1.0369999999999999</v>
      </c>
      <c r="J17" s="408">
        <v>1.0249999999999999</v>
      </c>
      <c r="K17" s="408">
        <v>1.0189999999999999</v>
      </c>
      <c r="L17" s="408">
        <v>1.014</v>
      </c>
      <c r="M17" s="408">
        <v>1.012</v>
      </c>
      <c r="N17" s="408">
        <v>1.0109999999999999</v>
      </c>
      <c r="O17" s="408" t="s">
        <v>36</v>
      </c>
      <c r="P17" s="408" t="s">
        <v>36</v>
      </c>
      <c r="Q17" s="408" t="s">
        <v>36</v>
      </c>
    </row>
    <row r="18" spans="1:17" ht="13.15" customHeight="1">
      <c r="A18" s="12">
        <v>2006</v>
      </c>
      <c r="B18" s="408">
        <v>2.2109999999999999</v>
      </c>
      <c r="C18" s="408">
        <v>1.423</v>
      </c>
      <c r="D18" s="408">
        <v>1.1970000000000001</v>
      </c>
      <c r="E18" s="408">
        <v>1.121</v>
      </c>
      <c r="F18" s="408">
        <v>1.085</v>
      </c>
      <c r="G18" s="408">
        <v>1.0620000000000001</v>
      </c>
      <c r="H18" s="408">
        <v>1.0449999999999999</v>
      </c>
      <c r="I18" s="408">
        <v>1.032</v>
      </c>
      <c r="J18" s="408">
        <v>1.026</v>
      </c>
      <c r="K18" s="408">
        <v>1.0169999999999999</v>
      </c>
      <c r="L18" s="408">
        <v>1.0149999999999999</v>
      </c>
      <c r="M18" s="408">
        <v>1.0109999999999999</v>
      </c>
      <c r="N18" s="408" t="s">
        <v>36</v>
      </c>
      <c r="O18" s="408" t="s">
        <v>36</v>
      </c>
      <c r="P18" s="408" t="s">
        <v>36</v>
      </c>
      <c r="Q18" s="408" t="s">
        <v>36</v>
      </c>
    </row>
    <row r="19" spans="1:17" ht="13.15" customHeight="1">
      <c r="A19" s="12">
        <v>2007</v>
      </c>
      <c r="B19" s="408">
        <v>2.2429999999999999</v>
      </c>
      <c r="C19" s="408">
        <v>1.4359999999999999</v>
      </c>
      <c r="D19" s="408">
        <v>1.2110000000000001</v>
      </c>
      <c r="E19" s="408">
        <v>1.127</v>
      </c>
      <c r="F19" s="408">
        <v>1.085</v>
      </c>
      <c r="G19" s="408">
        <v>1.0609999999999999</v>
      </c>
      <c r="H19" s="408">
        <v>1.042</v>
      </c>
      <c r="I19" s="408">
        <v>1.032</v>
      </c>
      <c r="J19" s="408">
        <v>1.0249999999999999</v>
      </c>
      <c r="K19" s="408">
        <v>1.0169999999999999</v>
      </c>
      <c r="L19" s="408">
        <v>1.016</v>
      </c>
      <c r="M19" s="408" t="s">
        <v>36</v>
      </c>
      <c r="N19" s="408" t="s">
        <v>36</v>
      </c>
      <c r="O19" s="408" t="s">
        <v>36</v>
      </c>
      <c r="P19" s="408" t="s">
        <v>36</v>
      </c>
      <c r="Q19" s="408" t="s">
        <v>36</v>
      </c>
    </row>
    <row r="20" spans="1:17" ht="13.15" customHeight="1">
      <c r="A20" s="12">
        <v>2008</v>
      </c>
      <c r="B20" s="408">
        <v>2.2789999999999999</v>
      </c>
      <c r="C20" s="408">
        <v>1.468</v>
      </c>
      <c r="D20" s="408">
        <v>1.234</v>
      </c>
      <c r="E20" s="408">
        <v>1.1319999999999999</v>
      </c>
      <c r="F20" s="408">
        <v>1.083</v>
      </c>
      <c r="G20" s="408">
        <v>1.054</v>
      </c>
      <c r="H20" s="408">
        <v>1.04</v>
      </c>
      <c r="I20" s="408">
        <v>1.0249999999999999</v>
      </c>
      <c r="J20" s="408">
        <v>1.0209999999999999</v>
      </c>
      <c r="K20" s="408">
        <v>1.018</v>
      </c>
      <c r="L20" s="408" t="s">
        <v>36</v>
      </c>
      <c r="M20" s="408" t="s">
        <v>36</v>
      </c>
      <c r="N20" s="408" t="s">
        <v>36</v>
      </c>
      <c r="O20" s="408" t="s">
        <v>36</v>
      </c>
      <c r="P20" s="408" t="s">
        <v>36</v>
      </c>
      <c r="Q20" s="408" t="s">
        <v>36</v>
      </c>
    </row>
    <row r="21" spans="1:17" ht="13.15" customHeight="1">
      <c r="A21" s="12">
        <v>2009</v>
      </c>
      <c r="B21" s="408">
        <v>2.3690000000000002</v>
      </c>
      <c r="C21" s="408">
        <v>1.4990000000000001</v>
      </c>
      <c r="D21" s="408">
        <v>1.238</v>
      </c>
      <c r="E21" s="408">
        <v>1.135</v>
      </c>
      <c r="F21" s="408">
        <v>1.0840000000000001</v>
      </c>
      <c r="G21" s="408">
        <v>1.056</v>
      </c>
      <c r="H21" s="408">
        <v>1.0389999999999999</v>
      </c>
      <c r="I21" s="408">
        <v>1.0289999999999999</v>
      </c>
      <c r="J21" s="408">
        <v>1.0229999999999999</v>
      </c>
      <c r="K21" s="408" t="s">
        <v>36</v>
      </c>
      <c r="L21" s="408" t="s">
        <v>36</v>
      </c>
      <c r="M21" s="408" t="s">
        <v>36</v>
      </c>
      <c r="N21" s="408" t="s">
        <v>36</v>
      </c>
      <c r="O21" s="408" t="s">
        <v>36</v>
      </c>
      <c r="P21" s="408" t="s">
        <v>36</v>
      </c>
      <c r="Q21" s="408" t="s">
        <v>36</v>
      </c>
    </row>
    <row r="22" spans="1:17" ht="13.15" customHeight="1">
      <c r="A22" s="12">
        <v>2010</v>
      </c>
      <c r="B22" s="408">
        <v>2.399</v>
      </c>
      <c r="C22" s="408">
        <v>1.5049999999999999</v>
      </c>
      <c r="D22" s="408">
        <v>1.24</v>
      </c>
      <c r="E22" s="408">
        <v>1.129</v>
      </c>
      <c r="F22" s="408">
        <v>1.081</v>
      </c>
      <c r="G22" s="408">
        <v>1.0529999999999999</v>
      </c>
      <c r="H22" s="408">
        <v>1.036</v>
      </c>
      <c r="I22" s="408">
        <v>1.024</v>
      </c>
      <c r="J22" s="408" t="s">
        <v>36</v>
      </c>
      <c r="K22" s="408" t="s">
        <v>36</v>
      </c>
      <c r="L22" s="408" t="s">
        <v>36</v>
      </c>
      <c r="M22" s="408" t="s">
        <v>36</v>
      </c>
      <c r="N22" s="408" t="s">
        <v>36</v>
      </c>
      <c r="O22" s="408" t="s">
        <v>36</v>
      </c>
      <c r="P22" s="408" t="s">
        <v>36</v>
      </c>
      <c r="Q22" s="408" t="s">
        <v>36</v>
      </c>
    </row>
    <row r="23" spans="1:17" ht="13.15" customHeight="1">
      <c r="A23" s="12">
        <v>2011</v>
      </c>
      <c r="B23" s="408">
        <v>2.4329999999999998</v>
      </c>
      <c r="C23" s="408">
        <v>1.4810000000000001</v>
      </c>
      <c r="D23" s="408">
        <v>1.2270000000000001</v>
      </c>
      <c r="E23" s="408">
        <v>1.129</v>
      </c>
      <c r="F23" s="408">
        <v>1.0760000000000001</v>
      </c>
      <c r="G23" s="408">
        <v>1.0529999999999999</v>
      </c>
      <c r="H23" s="408">
        <v>1.038</v>
      </c>
      <c r="I23" s="408" t="s">
        <v>36</v>
      </c>
      <c r="J23" s="408" t="s">
        <v>36</v>
      </c>
      <c r="K23" s="408" t="s">
        <v>36</v>
      </c>
      <c r="L23" s="408" t="s">
        <v>36</v>
      </c>
      <c r="M23" s="408" t="s">
        <v>36</v>
      </c>
      <c r="N23" s="408" t="s">
        <v>36</v>
      </c>
      <c r="O23" s="408" t="s">
        <v>36</v>
      </c>
      <c r="P23" s="408" t="s">
        <v>36</v>
      </c>
      <c r="Q23" s="408" t="s">
        <v>36</v>
      </c>
    </row>
    <row r="24" spans="1:17" ht="13.15" customHeight="1">
      <c r="A24" s="12">
        <v>2012</v>
      </c>
      <c r="B24" s="408">
        <v>2.4239999999999999</v>
      </c>
      <c r="C24" s="408">
        <v>1.4770000000000001</v>
      </c>
      <c r="D24" s="408">
        <v>1.2190000000000001</v>
      </c>
      <c r="E24" s="408">
        <v>1.123</v>
      </c>
      <c r="F24" s="408">
        <v>1.0760000000000001</v>
      </c>
      <c r="G24" s="408">
        <v>1.0469999999999999</v>
      </c>
      <c r="H24" s="408" t="s">
        <v>36</v>
      </c>
      <c r="I24" s="408" t="s">
        <v>36</v>
      </c>
      <c r="J24" s="408" t="s">
        <v>36</v>
      </c>
      <c r="K24" s="408" t="s">
        <v>36</v>
      </c>
      <c r="L24" s="408" t="s">
        <v>36</v>
      </c>
      <c r="M24" s="408" t="s">
        <v>36</v>
      </c>
      <c r="N24" s="408" t="s">
        <v>36</v>
      </c>
      <c r="O24" s="408" t="s">
        <v>36</v>
      </c>
      <c r="P24" s="408" t="s">
        <v>36</v>
      </c>
      <c r="Q24" s="408" t="s">
        <v>36</v>
      </c>
    </row>
    <row r="25" spans="1:17" ht="13.15" customHeight="1">
      <c r="A25" s="12">
        <v>2013</v>
      </c>
      <c r="B25" s="408">
        <v>2.3849999999999998</v>
      </c>
      <c r="C25" s="408">
        <v>1.49</v>
      </c>
      <c r="D25" s="408">
        <v>1.216</v>
      </c>
      <c r="E25" s="408">
        <v>1.111</v>
      </c>
      <c r="F25" s="408">
        <v>1.0629999999999999</v>
      </c>
      <c r="G25" s="408" t="s">
        <v>36</v>
      </c>
      <c r="H25" s="408" t="s">
        <v>36</v>
      </c>
      <c r="I25" s="408" t="s">
        <v>36</v>
      </c>
      <c r="J25" s="408" t="s">
        <v>36</v>
      </c>
      <c r="K25" s="408" t="s">
        <v>36</v>
      </c>
      <c r="L25" s="408" t="s">
        <v>36</v>
      </c>
      <c r="M25" s="408" t="s">
        <v>36</v>
      </c>
      <c r="N25" s="408" t="s">
        <v>36</v>
      </c>
      <c r="O25" s="408" t="s">
        <v>36</v>
      </c>
      <c r="P25" s="408" t="s">
        <v>36</v>
      </c>
      <c r="Q25" s="408" t="s">
        <v>36</v>
      </c>
    </row>
    <row r="26" spans="1:17" ht="13.15" customHeight="1">
      <c r="A26" s="12">
        <v>2014</v>
      </c>
      <c r="B26" s="408">
        <v>2.4550000000000001</v>
      </c>
      <c r="C26" s="408">
        <v>1.5009999999999999</v>
      </c>
      <c r="D26" s="408">
        <v>1.2150000000000001</v>
      </c>
      <c r="E26" s="408">
        <v>1.109</v>
      </c>
      <c r="F26" s="408" t="s">
        <v>36</v>
      </c>
      <c r="G26" s="408" t="s">
        <v>36</v>
      </c>
      <c r="H26" s="408" t="s">
        <v>36</v>
      </c>
      <c r="I26" s="408" t="s">
        <v>36</v>
      </c>
      <c r="J26" s="408" t="s">
        <v>36</v>
      </c>
      <c r="K26" s="408" t="s">
        <v>36</v>
      </c>
      <c r="L26" s="408" t="s">
        <v>36</v>
      </c>
      <c r="M26" s="408" t="s">
        <v>36</v>
      </c>
      <c r="N26" s="408" t="s">
        <v>36</v>
      </c>
      <c r="O26" s="408" t="s">
        <v>36</v>
      </c>
      <c r="P26" s="408" t="s">
        <v>36</v>
      </c>
      <c r="Q26" s="408" t="s">
        <v>36</v>
      </c>
    </row>
    <row r="27" spans="1:17" ht="13.15" customHeight="1">
      <c r="A27" s="12">
        <v>2015</v>
      </c>
      <c r="B27" s="408">
        <v>2.468</v>
      </c>
      <c r="C27" s="408">
        <v>1.476</v>
      </c>
      <c r="D27" s="408">
        <v>1.202</v>
      </c>
      <c r="E27" s="408" t="s">
        <v>36</v>
      </c>
      <c r="F27" s="408" t="s">
        <v>36</v>
      </c>
      <c r="G27" s="408" t="s">
        <v>36</v>
      </c>
      <c r="H27" s="408" t="s">
        <v>36</v>
      </c>
      <c r="I27" s="408" t="s">
        <v>36</v>
      </c>
      <c r="J27" s="408" t="s">
        <v>36</v>
      </c>
      <c r="K27" s="408" t="s">
        <v>36</v>
      </c>
      <c r="L27" s="408" t="s">
        <v>36</v>
      </c>
      <c r="M27" s="408" t="s">
        <v>36</v>
      </c>
      <c r="N27" s="408" t="s">
        <v>36</v>
      </c>
      <c r="O27" s="408" t="s">
        <v>36</v>
      </c>
      <c r="P27" s="408" t="s">
        <v>36</v>
      </c>
      <c r="Q27" s="408" t="s">
        <v>36</v>
      </c>
    </row>
    <row r="28" spans="1:17" ht="13.15" customHeight="1">
      <c r="A28" s="12">
        <v>2016</v>
      </c>
      <c r="B28" s="408">
        <v>2.403</v>
      </c>
      <c r="C28" s="408">
        <v>1.4590000000000001</v>
      </c>
      <c r="D28" s="408" t="s">
        <v>36</v>
      </c>
      <c r="E28" s="408" t="s">
        <v>36</v>
      </c>
      <c r="F28" s="408" t="s">
        <v>36</v>
      </c>
      <c r="G28" s="408" t="s">
        <v>36</v>
      </c>
      <c r="H28" s="408" t="s">
        <v>36</v>
      </c>
      <c r="I28" s="408" t="s">
        <v>36</v>
      </c>
      <c r="J28" s="408" t="s">
        <v>36</v>
      </c>
      <c r="K28" s="408" t="s">
        <v>36</v>
      </c>
      <c r="L28" s="408" t="s">
        <v>36</v>
      </c>
      <c r="M28" s="408" t="s">
        <v>36</v>
      </c>
      <c r="N28" s="408" t="s">
        <v>36</v>
      </c>
      <c r="O28" s="408" t="s">
        <v>36</v>
      </c>
      <c r="P28" s="408" t="s">
        <v>36</v>
      </c>
      <c r="Q28" s="408" t="s">
        <v>36</v>
      </c>
    </row>
    <row r="29" spans="1:17" ht="13.15" customHeight="1">
      <c r="A29" s="12">
        <v>2017</v>
      </c>
      <c r="B29" s="408">
        <v>2.39</v>
      </c>
      <c r="C29" s="408" t="s">
        <v>36</v>
      </c>
      <c r="D29" s="408" t="s">
        <v>36</v>
      </c>
      <c r="E29" s="408" t="s">
        <v>36</v>
      </c>
      <c r="F29" s="408" t="s">
        <v>36</v>
      </c>
      <c r="G29" s="408" t="s">
        <v>36</v>
      </c>
      <c r="H29" s="408" t="s">
        <v>36</v>
      </c>
      <c r="I29" s="408" t="s">
        <v>36</v>
      </c>
      <c r="J29" s="408" t="s">
        <v>36</v>
      </c>
      <c r="K29" s="408" t="s">
        <v>36</v>
      </c>
      <c r="L29" s="408" t="s">
        <v>36</v>
      </c>
      <c r="M29" s="408" t="s">
        <v>36</v>
      </c>
      <c r="N29" s="408" t="s">
        <v>36</v>
      </c>
      <c r="O29" s="408" t="s">
        <v>36</v>
      </c>
      <c r="P29" s="408" t="s">
        <v>36</v>
      </c>
      <c r="Q29" s="408" t="s">
        <v>36</v>
      </c>
    </row>
    <row r="30" spans="1:17" ht="13.15" customHeight="1">
      <c r="A30" s="154"/>
      <c r="B30" s="239"/>
      <c r="C30" s="154"/>
      <c r="D30" s="154"/>
      <c r="E30" s="154"/>
      <c r="F30" s="154"/>
      <c r="G30" s="154"/>
      <c r="H30" s="154"/>
      <c r="I30" s="154"/>
      <c r="J30" s="154"/>
      <c r="K30" s="154"/>
      <c r="L30" s="154"/>
      <c r="M30" s="154"/>
      <c r="N30" s="154"/>
      <c r="O30" s="154"/>
      <c r="P30" s="154"/>
      <c r="Q30" s="318"/>
    </row>
    <row r="31" spans="1:17" ht="13.15" customHeight="1">
      <c r="A31" s="12" t="s">
        <v>20</v>
      </c>
      <c r="B31" s="13">
        <f>ROUND(B29,3)</f>
        <v>2.39</v>
      </c>
      <c r="C31" s="13">
        <f>ROUND(C28,3)</f>
        <v>1.4590000000000001</v>
      </c>
      <c r="D31" s="13">
        <f>ROUND(D27,3)</f>
        <v>1.202</v>
      </c>
      <c r="E31" s="13">
        <f>ROUND(E26,3)</f>
        <v>1.109</v>
      </c>
      <c r="F31" s="13">
        <f>ROUND(F25,3)</f>
        <v>1.0629999999999999</v>
      </c>
      <c r="G31" s="13">
        <f>ROUND(G24,3)</f>
        <v>1.0469999999999999</v>
      </c>
      <c r="H31" s="13">
        <f>ROUND(H23,3)</f>
        <v>1.038</v>
      </c>
      <c r="I31" s="13">
        <f>ROUND(I22,3)</f>
        <v>1.024</v>
      </c>
      <c r="J31" s="13">
        <f>AVERAGE(J19:J21)</f>
        <v>1.0229999999999999</v>
      </c>
      <c r="K31" s="13">
        <f>AVERAGE(K18:K20)</f>
        <v>1.0173333333333332</v>
      </c>
      <c r="L31" s="13">
        <f>AVERAGE(L17:L19)</f>
        <v>1.0149999999999999</v>
      </c>
      <c r="M31" s="13">
        <f>AVERAGE(M16:M18)</f>
        <v>1.0113333333333332</v>
      </c>
      <c r="N31" s="13">
        <f>AVERAGE(N15:N17)</f>
        <v>1.0093333333333332</v>
      </c>
      <c r="O31" s="13">
        <f>AVERAGE(O14:O16)</f>
        <v>1.0073333333333334</v>
      </c>
      <c r="P31" s="13">
        <f>AVERAGE(P13:P15)</f>
        <v>1.006</v>
      </c>
      <c r="Q31" s="13">
        <f>AVERAGE(Q12:Q14)</f>
        <v>1.0046666666666666</v>
      </c>
    </row>
    <row r="32" spans="1:17" ht="13.15" customHeight="1">
      <c r="A32" s="12" t="s">
        <v>21</v>
      </c>
      <c r="B32" s="13">
        <f t="shared" ref="B32:O32" si="0">B31*C32</f>
        <v>6.2513349989240137</v>
      </c>
      <c r="C32" s="13">
        <f t="shared" si="0"/>
        <v>2.6156213384619305</v>
      </c>
      <c r="D32" s="13">
        <f t="shared" si="0"/>
        <v>1.7927493752309325</v>
      </c>
      <c r="E32" s="13">
        <f t="shared" si="0"/>
        <v>1.491472025982473</v>
      </c>
      <c r="F32" s="13">
        <f t="shared" si="0"/>
        <v>1.3448800955658007</v>
      </c>
      <c r="G32" s="13">
        <f t="shared" si="0"/>
        <v>1.2651741256498596</v>
      </c>
      <c r="H32" s="13">
        <f t="shared" si="0"/>
        <v>1.2083802537247943</v>
      </c>
      <c r="I32" s="13">
        <f t="shared" si="0"/>
        <v>1.1641428263244646</v>
      </c>
      <c r="J32" s="13">
        <f t="shared" si="0"/>
        <v>1.1368582288324849</v>
      </c>
      <c r="K32" s="13">
        <f t="shared" si="0"/>
        <v>1.1112983664051661</v>
      </c>
      <c r="L32" s="13">
        <f t="shared" si="0"/>
        <v>1.0923640560994425</v>
      </c>
      <c r="M32" s="13">
        <f t="shared" si="0"/>
        <v>1.0762207449255592</v>
      </c>
      <c r="N32" s="13">
        <f t="shared" si="0"/>
        <v>1.0641602619567165</v>
      </c>
      <c r="O32" s="13">
        <f t="shared" si="0"/>
        <v>1.0543199424934446</v>
      </c>
      <c r="P32" s="13">
        <f>P31*Q32</f>
        <v>1.0466445491331349</v>
      </c>
      <c r="Q32" s="13">
        <f>Q31*'Exhibit 2.3.2'!B27</f>
        <v>1.0404021363152434</v>
      </c>
    </row>
    <row r="33" spans="1:17">
      <c r="A33" s="14"/>
      <c r="B33" s="14"/>
      <c r="C33" s="22"/>
      <c r="D33" s="22"/>
      <c r="E33" s="22"/>
      <c r="F33" s="22"/>
      <c r="G33" s="22"/>
      <c r="H33" s="22"/>
      <c r="I33" s="22"/>
      <c r="J33" s="13"/>
      <c r="K33" s="22"/>
      <c r="L33" s="13"/>
      <c r="M33" s="13"/>
      <c r="N33" s="13"/>
      <c r="O33" s="13"/>
      <c r="P33" s="13"/>
      <c r="Q33" s="154"/>
    </row>
    <row r="34" spans="1:17" hidden="1">
      <c r="A34" s="14" t="s">
        <v>32</v>
      </c>
      <c r="B34" s="14"/>
      <c r="C34" s="154"/>
      <c r="D34" s="154"/>
      <c r="E34" s="154"/>
      <c r="F34" s="154"/>
      <c r="G34" s="154"/>
      <c r="H34" s="154"/>
      <c r="I34" s="154"/>
      <c r="J34" s="154"/>
      <c r="K34" s="154"/>
      <c r="L34" s="154"/>
      <c r="M34" s="154"/>
      <c r="N34" s="154"/>
      <c r="O34" s="154"/>
      <c r="P34" s="154"/>
      <c r="Q34" s="154"/>
    </row>
    <row r="35" spans="1:17" hidden="1">
      <c r="A35" s="14" t="s">
        <v>33</v>
      </c>
      <c r="B35" s="13">
        <v>6.2513349989240163</v>
      </c>
      <c r="C35" s="13">
        <v>2.6156213384619313</v>
      </c>
      <c r="D35" s="13">
        <v>1.7927493752309329</v>
      </c>
      <c r="E35" s="13">
        <v>1.4914720259824734</v>
      </c>
      <c r="F35" s="13">
        <v>1.3448800955658011</v>
      </c>
      <c r="G35" s="22" t="s">
        <v>34</v>
      </c>
      <c r="H35" s="22" t="s">
        <v>34</v>
      </c>
      <c r="I35" s="22" t="s">
        <v>34</v>
      </c>
      <c r="J35" s="22" t="s">
        <v>34</v>
      </c>
      <c r="K35" s="22" t="s">
        <v>34</v>
      </c>
      <c r="L35" s="22" t="s">
        <v>34</v>
      </c>
      <c r="M35" s="22" t="s">
        <v>34</v>
      </c>
      <c r="N35" s="22" t="s">
        <v>34</v>
      </c>
      <c r="O35" s="22" t="s">
        <v>34</v>
      </c>
      <c r="P35" s="22" t="s">
        <v>34</v>
      </c>
      <c r="Q35" s="22" t="s">
        <v>34</v>
      </c>
    </row>
    <row r="36" spans="1:17" hidden="1">
      <c r="A36" s="154"/>
      <c r="B36" s="239"/>
      <c r="C36" s="154"/>
      <c r="D36" s="154"/>
      <c r="E36" s="154"/>
      <c r="F36" s="154"/>
      <c r="G36" s="154"/>
      <c r="H36" s="154"/>
      <c r="I36" s="154"/>
      <c r="J36" s="154"/>
      <c r="K36" s="154"/>
      <c r="L36" s="154"/>
      <c r="M36" s="154"/>
      <c r="N36" s="154"/>
      <c r="O36" s="154"/>
      <c r="P36" s="154"/>
      <c r="Q36" s="154"/>
    </row>
    <row r="37" spans="1:17" ht="15" customHeight="1">
      <c r="A37" s="9" t="s">
        <v>22</v>
      </c>
      <c r="B37" s="526" t="s">
        <v>427</v>
      </c>
      <c r="C37" s="527"/>
      <c r="D37" s="527"/>
      <c r="E37" s="527"/>
      <c r="F37" s="527"/>
      <c r="G37" s="527"/>
      <c r="H37" s="527"/>
      <c r="I37" s="527"/>
      <c r="J37" s="527"/>
      <c r="K37" s="527"/>
      <c r="L37" s="527"/>
      <c r="M37" s="527"/>
      <c r="N37" s="527"/>
      <c r="O37" s="527"/>
      <c r="P37" s="527"/>
    </row>
    <row r="38" spans="1:17" ht="26.25" customHeight="1">
      <c r="A38" s="9"/>
      <c r="B38" s="514"/>
      <c r="C38" s="528"/>
      <c r="D38" s="528"/>
      <c r="E38" s="528"/>
      <c r="F38" s="528"/>
      <c r="G38" s="528"/>
      <c r="H38" s="528"/>
      <c r="I38" s="528"/>
      <c r="J38" s="528"/>
      <c r="K38" s="528"/>
      <c r="L38" s="528"/>
      <c r="M38" s="528"/>
      <c r="N38" s="528"/>
      <c r="O38" s="528"/>
      <c r="P38" s="528"/>
      <c r="Q38" s="168"/>
    </row>
    <row r="39" spans="1:17" ht="15">
      <c r="A39" s="9"/>
      <c r="B39" s="529"/>
      <c r="C39" s="530"/>
      <c r="D39" s="530"/>
      <c r="E39" s="530"/>
      <c r="F39" s="530"/>
      <c r="G39" s="530"/>
      <c r="H39" s="530"/>
      <c r="I39" s="530"/>
      <c r="J39" s="530"/>
      <c r="K39" s="530"/>
      <c r="L39" s="530"/>
      <c r="M39" s="530"/>
      <c r="N39" s="530"/>
      <c r="O39" s="530"/>
      <c r="P39" s="530"/>
      <c r="Q39" s="190"/>
    </row>
    <row r="40" spans="1:17">
      <c r="A40" s="154"/>
      <c r="B40" s="239"/>
      <c r="C40" s="154"/>
      <c r="D40" s="154"/>
    </row>
    <row r="41" spans="1:17">
      <c r="A41" s="261"/>
      <c r="B41" s="261"/>
      <c r="C41" s="261"/>
    </row>
    <row r="42" spans="1:17">
      <c r="A42" s="261"/>
      <c r="B42" s="262"/>
      <c r="C42" s="261"/>
    </row>
    <row r="43" spans="1:17">
      <c r="A43" s="262"/>
      <c r="B43" s="262"/>
      <c r="C43" s="262"/>
    </row>
    <row r="44" spans="1:17">
      <c r="A44" s="251"/>
      <c r="B44" s="195"/>
      <c r="C44" s="195"/>
    </row>
    <row r="45" spans="1:17">
      <c r="A45" s="251"/>
      <c r="B45" s="195"/>
      <c r="C45" s="195"/>
    </row>
    <row r="46" spans="1:17">
      <c r="A46" s="251"/>
      <c r="B46" s="195"/>
      <c r="C46" s="195"/>
    </row>
    <row r="67" ht="26.25" customHeight="1"/>
  </sheetData>
  <mergeCells count="5">
    <mergeCell ref="B37:P37"/>
    <mergeCell ref="B38:P38"/>
    <mergeCell ref="B39:P39"/>
    <mergeCell ref="B3:Q3"/>
    <mergeCell ref="A1:Q1"/>
  </mergeCells>
  <pageMargins left="0.7" right="0.7" top="0.75" bottom="0.75" header="0.3" footer="0.3"/>
  <pageSetup scale="8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T30"/>
  <sheetViews>
    <sheetView workbookViewId="0">
      <selection sqref="A1:T1"/>
    </sheetView>
  </sheetViews>
  <sheetFormatPr defaultColWidth="9.140625" defaultRowHeight="12.75"/>
  <cols>
    <col min="1" max="1" width="12.7109375" style="136" bestFit="1" customWidth="1"/>
    <col min="2" max="18" width="8.5703125" style="136" customWidth="1"/>
    <col min="19" max="19" width="15.140625" style="136" customWidth="1"/>
    <col min="20" max="20" width="13.7109375" style="136" customWidth="1"/>
    <col min="21" max="16384" width="9.140625" style="136"/>
  </cols>
  <sheetData>
    <row r="1" spans="1:20" ht="14.45" customHeight="1">
      <c r="A1" s="531" t="s">
        <v>35</v>
      </c>
      <c r="B1" s="531"/>
      <c r="C1" s="531"/>
      <c r="D1" s="531"/>
      <c r="E1" s="531"/>
      <c r="F1" s="531"/>
      <c r="G1" s="531"/>
      <c r="H1" s="531"/>
      <c r="I1" s="531"/>
      <c r="J1" s="531"/>
      <c r="K1" s="531"/>
      <c r="L1" s="531"/>
      <c r="M1" s="531"/>
      <c r="N1" s="531"/>
      <c r="O1" s="531"/>
      <c r="P1" s="531"/>
      <c r="Q1" s="531"/>
      <c r="R1" s="531"/>
      <c r="S1" s="531"/>
      <c r="T1" s="531"/>
    </row>
    <row r="2" spans="1:20">
      <c r="A2" s="351"/>
      <c r="B2" s="347"/>
      <c r="C2" s="348"/>
      <c r="D2" s="348"/>
      <c r="E2" s="348"/>
      <c r="F2" s="348"/>
      <c r="G2" s="348"/>
      <c r="H2" s="348"/>
      <c r="I2" s="348"/>
      <c r="J2" s="348"/>
      <c r="K2" s="348"/>
      <c r="L2" s="348"/>
      <c r="M2" s="348"/>
      <c r="N2" s="348"/>
      <c r="O2" s="348"/>
      <c r="P2" s="348"/>
      <c r="Q2" s="351"/>
      <c r="R2" s="376"/>
      <c r="S2" s="351"/>
    </row>
    <row r="3" spans="1:20">
      <c r="A3" s="351"/>
      <c r="B3" s="532" t="s">
        <v>18</v>
      </c>
      <c r="C3" s="532"/>
      <c r="D3" s="532"/>
      <c r="E3" s="532"/>
      <c r="F3" s="532"/>
      <c r="G3" s="532"/>
      <c r="H3" s="532"/>
      <c r="I3" s="532"/>
      <c r="J3" s="532"/>
      <c r="K3" s="532"/>
      <c r="L3" s="532"/>
      <c r="M3" s="532"/>
      <c r="N3" s="532"/>
      <c r="O3" s="532"/>
      <c r="P3" s="532"/>
      <c r="Q3" s="532"/>
      <c r="R3" s="532"/>
      <c r="S3" s="532"/>
      <c r="T3" s="532"/>
    </row>
    <row r="4" spans="1:20">
      <c r="A4" s="11" t="s">
        <v>19</v>
      </c>
      <c r="B4" s="407" t="s">
        <v>451</v>
      </c>
      <c r="C4" s="407" t="s">
        <v>452</v>
      </c>
      <c r="D4" s="407" t="s">
        <v>453</v>
      </c>
      <c r="E4" s="407" t="s">
        <v>454</v>
      </c>
      <c r="F4" s="407" t="s">
        <v>455</v>
      </c>
      <c r="G4" s="407" t="s">
        <v>456</v>
      </c>
      <c r="H4" s="407" t="s">
        <v>457</v>
      </c>
      <c r="I4" s="407" t="s">
        <v>458</v>
      </c>
      <c r="J4" s="407" t="s">
        <v>459</v>
      </c>
      <c r="K4" s="407" t="s">
        <v>460</v>
      </c>
      <c r="L4" s="407" t="s">
        <v>461</v>
      </c>
      <c r="M4" s="407" t="s">
        <v>462</v>
      </c>
      <c r="N4" s="407" t="s">
        <v>463</v>
      </c>
      <c r="O4" s="407" t="s">
        <v>464</v>
      </c>
      <c r="P4" s="407" t="s">
        <v>465</v>
      </c>
      <c r="Q4" s="407" t="s">
        <v>466</v>
      </c>
      <c r="R4" s="407" t="s">
        <v>467</v>
      </c>
      <c r="S4" s="407" t="s">
        <v>470</v>
      </c>
      <c r="T4" s="11" t="s">
        <v>469</v>
      </c>
    </row>
    <row r="5" spans="1:20">
      <c r="A5" s="1">
        <v>1983</v>
      </c>
      <c r="B5" s="408" t="s">
        <v>36</v>
      </c>
      <c r="C5" s="408">
        <v>1.0009999999999999</v>
      </c>
      <c r="D5" s="408">
        <v>1.0009999999999999</v>
      </c>
      <c r="E5" s="408">
        <v>1.0009999999999999</v>
      </c>
      <c r="F5" s="408">
        <v>1.0029999999999999</v>
      </c>
      <c r="G5" s="408">
        <v>1.0029999999999999</v>
      </c>
      <c r="H5" s="408">
        <v>1.0009999999999999</v>
      </c>
      <c r="I5" s="408">
        <v>1.0009999999999999</v>
      </c>
      <c r="J5" s="408">
        <v>1.0009999999999999</v>
      </c>
      <c r="K5" s="408">
        <v>1.0009999999999999</v>
      </c>
      <c r="L5" s="408">
        <v>1.0009999999999999</v>
      </c>
      <c r="M5" s="408">
        <v>1.0009999999999999</v>
      </c>
      <c r="N5" s="408">
        <v>1.0009999999999999</v>
      </c>
      <c r="O5" s="408">
        <v>1.0009999999999999</v>
      </c>
      <c r="P5" s="408">
        <v>1.0009999999999999</v>
      </c>
      <c r="Q5" s="408">
        <v>1.0009999999999999</v>
      </c>
      <c r="R5" s="408">
        <v>1.0009999999999999</v>
      </c>
      <c r="S5" s="411">
        <v>1.0049999999999999</v>
      </c>
    </row>
    <row r="6" spans="1:20">
      <c r="A6" s="1">
        <v>1984</v>
      </c>
      <c r="B6" s="408">
        <v>1.0009999999999999</v>
      </c>
      <c r="C6" s="408">
        <v>1.0009999999999999</v>
      </c>
      <c r="D6" s="408">
        <v>1.0009999999999999</v>
      </c>
      <c r="E6" s="408">
        <v>1.0009999999999999</v>
      </c>
      <c r="F6" s="408">
        <v>1.0009999999999999</v>
      </c>
      <c r="G6" s="408">
        <v>1.0009999999999999</v>
      </c>
      <c r="H6" s="408">
        <v>1.0009999999999999</v>
      </c>
      <c r="I6" s="408">
        <v>1.0009999999999999</v>
      </c>
      <c r="J6" s="408">
        <v>1.0009999999999999</v>
      </c>
      <c r="K6" s="408">
        <v>1.0009999999999999</v>
      </c>
      <c r="L6" s="408">
        <v>1.0009999999999999</v>
      </c>
      <c r="M6" s="408">
        <v>1.0009999999999999</v>
      </c>
      <c r="N6" s="408">
        <v>1.0009999999999999</v>
      </c>
      <c r="O6" s="408">
        <v>1</v>
      </c>
      <c r="P6" s="408">
        <v>1</v>
      </c>
      <c r="Q6" s="408">
        <v>1.0009999999999999</v>
      </c>
      <c r="R6" s="408">
        <v>1</v>
      </c>
      <c r="S6" s="411">
        <v>1.0049999999999999</v>
      </c>
    </row>
    <row r="7" spans="1:20">
      <c r="A7" s="1">
        <v>1985</v>
      </c>
      <c r="B7" s="408">
        <v>1.002</v>
      </c>
      <c r="C7" s="408">
        <v>1.0009999999999999</v>
      </c>
      <c r="D7" s="408">
        <v>1.0009999999999999</v>
      </c>
      <c r="E7" s="408">
        <v>1.0009999999999999</v>
      </c>
      <c r="F7" s="408">
        <v>1.0009999999999999</v>
      </c>
      <c r="G7" s="408">
        <v>1.0009999999999999</v>
      </c>
      <c r="H7" s="408">
        <v>1.0009999999999999</v>
      </c>
      <c r="I7" s="408">
        <v>1.0009999999999999</v>
      </c>
      <c r="J7" s="408">
        <v>1.0009999999999999</v>
      </c>
      <c r="K7" s="408">
        <v>1.0009999999999999</v>
      </c>
      <c r="L7" s="408">
        <v>1.002</v>
      </c>
      <c r="M7" s="408">
        <v>1.0009999999999999</v>
      </c>
      <c r="N7" s="408">
        <v>1.0009999999999999</v>
      </c>
      <c r="O7" s="408">
        <v>1.0009999999999999</v>
      </c>
      <c r="P7" s="408">
        <v>1.0009999999999999</v>
      </c>
      <c r="Q7" s="408">
        <v>1</v>
      </c>
      <c r="R7" s="408">
        <v>1</v>
      </c>
      <c r="S7" s="411">
        <v>1.0049999999999999</v>
      </c>
    </row>
    <row r="8" spans="1:20">
      <c r="A8" s="1">
        <v>1986</v>
      </c>
      <c r="B8" s="408">
        <v>1.002</v>
      </c>
      <c r="C8" s="408">
        <v>1.0009999999999999</v>
      </c>
      <c r="D8" s="408">
        <v>1.0009999999999999</v>
      </c>
      <c r="E8" s="408">
        <v>1.0009999999999999</v>
      </c>
      <c r="F8" s="408">
        <v>1.0009999999999999</v>
      </c>
      <c r="G8" s="408">
        <v>1.0009999999999999</v>
      </c>
      <c r="H8" s="408">
        <v>1.002</v>
      </c>
      <c r="I8" s="408">
        <v>1.0009999999999999</v>
      </c>
      <c r="J8" s="408">
        <v>1.0009999999999999</v>
      </c>
      <c r="K8" s="408">
        <v>1.0009999999999999</v>
      </c>
      <c r="L8" s="408">
        <v>1.0009999999999999</v>
      </c>
      <c r="M8" s="408">
        <v>1.0009999999999999</v>
      </c>
      <c r="N8" s="408">
        <v>1.0009999999999999</v>
      </c>
      <c r="O8" s="408">
        <v>1.0009999999999999</v>
      </c>
      <c r="P8" s="408">
        <v>1.0009999999999999</v>
      </c>
      <c r="Q8" s="408">
        <v>1</v>
      </c>
      <c r="R8" s="408" t="s">
        <v>36</v>
      </c>
      <c r="S8" s="411">
        <v>1.0049999999999999</v>
      </c>
    </row>
    <row r="9" spans="1:20">
      <c r="A9" s="1">
        <v>1987</v>
      </c>
      <c r="B9" s="408">
        <v>1.0029999999999999</v>
      </c>
      <c r="C9" s="408">
        <v>1.002</v>
      </c>
      <c r="D9" s="408">
        <v>1.0009999999999999</v>
      </c>
      <c r="E9" s="408">
        <v>1.0009999999999999</v>
      </c>
      <c r="F9" s="408">
        <v>1.0009999999999999</v>
      </c>
      <c r="G9" s="408">
        <v>1.0009999999999999</v>
      </c>
      <c r="H9" s="408">
        <v>1.0009999999999999</v>
      </c>
      <c r="I9" s="408">
        <v>1.0009999999999999</v>
      </c>
      <c r="J9" s="408">
        <v>1.002</v>
      </c>
      <c r="K9" s="408">
        <v>1.0009999999999999</v>
      </c>
      <c r="L9" s="408">
        <v>1.0009999999999999</v>
      </c>
      <c r="M9" s="408">
        <v>1.0009999999999999</v>
      </c>
      <c r="N9" s="408">
        <v>1</v>
      </c>
      <c r="O9" s="408">
        <v>1.0009999999999999</v>
      </c>
      <c r="P9" s="408">
        <v>1.0009999999999999</v>
      </c>
      <c r="Q9" s="408" t="s">
        <v>36</v>
      </c>
      <c r="R9" s="408" t="s">
        <v>36</v>
      </c>
      <c r="S9" s="411">
        <v>1.0029999999999999</v>
      </c>
    </row>
    <row r="10" spans="1:20">
      <c r="A10" s="1">
        <v>1988</v>
      </c>
      <c r="B10" s="408">
        <v>1.0009999999999999</v>
      </c>
      <c r="C10" s="408">
        <v>1.0009999999999999</v>
      </c>
      <c r="D10" s="408">
        <v>1.002</v>
      </c>
      <c r="E10" s="408">
        <v>1.0009999999999999</v>
      </c>
      <c r="F10" s="408">
        <v>1.0009999999999999</v>
      </c>
      <c r="G10" s="408">
        <v>1.002</v>
      </c>
      <c r="H10" s="408">
        <v>1.002</v>
      </c>
      <c r="I10" s="408">
        <v>1.0009999999999999</v>
      </c>
      <c r="J10" s="408">
        <v>1.0009999999999999</v>
      </c>
      <c r="K10" s="408">
        <v>1.0009999999999999</v>
      </c>
      <c r="L10" s="408">
        <v>1.0009999999999999</v>
      </c>
      <c r="M10" s="408">
        <v>1</v>
      </c>
      <c r="N10" s="408">
        <v>1.0009999999999999</v>
      </c>
      <c r="O10" s="408">
        <v>1.0009999999999999</v>
      </c>
      <c r="P10" s="408" t="s">
        <v>36</v>
      </c>
      <c r="Q10" s="408" t="s">
        <v>36</v>
      </c>
      <c r="R10" s="408" t="s">
        <v>36</v>
      </c>
      <c r="S10" s="411">
        <v>1.0029999999999999</v>
      </c>
    </row>
    <row r="11" spans="1:20">
      <c r="A11" s="1">
        <v>1989</v>
      </c>
      <c r="B11" s="408">
        <v>1.002</v>
      </c>
      <c r="C11" s="408">
        <v>1.002</v>
      </c>
      <c r="D11" s="408">
        <v>1.0009999999999999</v>
      </c>
      <c r="E11" s="408">
        <v>1.0009999999999999</v>
      </c>
      <c r="F11" s="408">
        <v>1.0009999999999999</v>
      </c>
      <c r="G11" s="408">
        <v>1.002</v>
      </c>
      <c r="H11" s="408">
        <v>1.0009999999999999</v>
      </c>
      <c r="I11" s="408">
        <v>1.0009999999999999</v>
      </c>
      <c r="J11" s="408">
        <v>1.0009999999999999</v>
      </c>
      <c r="K11" s="408">
        <v>1.0009999999999999</v>
      </c>
      <c r="L11" s="408">
        <v>1.0009999999999999</v>
      </c>
      <c r="M11" s="408">
        <v>1.0009999999999999</v>
      </c>
      <c r="N11" s="408">
        <v>1.0009999999999999</v>
      </c>
      <c r="O11" s="408" t="s">
        <v>36</v>
      </c>
      <c r="P11" s="408" t="s">
        <v>36</v>
      </c>
      <c r="Q11" s="408" t="s">
        <v>36</v>
      </c>
      <c r="R11" s="408" t="s">
        <v>36</v>
      </c>
      <c r="S11" s="418"/>
    </row>
    <row r="12" spans="1:20">
      <c r="A12" s="1">
        <v>1990</v>
      </c>
      <c r="B12" s="408">
        <v>1.002</v>
      </c>
      <c r="C12" s="408">
        <v>1.0009999999999999</v>
      </c>
      <c r="D12" s="408">
        <v>1.0009999999999999</v>
      </c>
      <c r="E12" s="408">
        <v>1.0009999999999999</v>
      </c>
      <c r="F12" s="408">
        <v>1.0009999999999999</v>
      </c>
      <c r="G12" s="408">
        <v>1.0009999999999999</v>
      </c>
      <c r="H12" s="408">
        <v>1.0009999999999999</v>
      </c>
      <c r="I12" s="408">
        <v>1.0009999999999999</v>
      </c>
      <c r="J12" s="408">
        <v>1.0009999999999999</v>
      </c>
      <c r="K12" s="408">
        <v>1</v>
      </c>
      <c r="L12" s="408">
        <v>1</v>
      </c>
      <c r="M12" s="408">
        <v>1.0009999999999999</v>
      </c>
      <c r="N12" s="408" t="s">
        <v>36</v>
      </c>
      <c r="O12" s="408" t="s">
        <v>36</v>
      </c>
      <c r="P12" s="408" t="s">
        <v>36</v>
      </c>
      <c r="Q12" s="408" t="s">
        <v>36</v>
      </c>
      <c r="R12" s="408" t="s">
        <v>36</v>
      </c>
      <c r="S12" s="418"/>
    </row>
    <row r="13" spans="1:20">
      <c r="A13" s="1">
        <v>1991</v>
      </c>
      <c r="B13" s="408">
        <v>1.002</v>
      </c>
      <c r="C13" s="408">
        <v>1.002</v>
      </c>
      <c r="D13" s="408">
        <v>1.0009999999999999</v>
      </c>
      <c r="E13" s="408">
        <v>1.0009999999999999</v>
      </c>
      <c r="F13" s="408">
        <v>1.002</v>
      </c>
      <c r="G13" s="408">
        <v>1.0009999999999999</v>
      </c>
      <c r="H13" s="408">
        <v>1.0009999999999999</v>
      </c>
      <c r="I13" s="408">
        <v>1.0009999999999999</v>
      </c>
      <c r="J13" s="408">
        <v>1.0009999999999999</v>
      </c>
      <c r="K13" s="408">
        <v>1.0009999999999999</v>
      </c>
      <c r="L13" s="408">
        <v>1.0009999999999999</v>
      </c>
      <c r="M13" s="408" t="s">
        <v>36</v>
      </c>
      <c r="N13" s="408" t="s">
        <v>36</v>
      </c>
      <c r="O13" s="408" t="s">
        <v>36</v>
      </c>
      <c r="P13" s="408" t="s">
        <v>36</v>
      </c>
      <c r="Q13" s="408" t="s">
        <v>36</v>
      </c>
      <c r="R13" s="408" t="s">
        <v>36</v>
      </c>
      <c r="S13" s="418"/>
    </row>
    <row r="14" spans="1:20">
      <c r="A14" s="1">
        <v>1992</v>
      </c>
      <c r="B14" s="408">
        <v>1.0009999999999999</v>
      </c>
      <c r="C14" s="408">
        <v>1.002</v>
      </c>
      <c r="D14" s="408">
        <v>1.002</v>
      </c>
      <c r="E14" s="408">
        <v>1.002</v>
      </c>
      <c r="F14" s="408">
        <v>1.002</v>
      </c>
      <c r="G14" s="408">
        <v>1.0009999999999999</v>
      </c>
      <c r="H14" s="408">
        <v>1.0009999999999999</v>
      </c>
      <c r="I14" s="408">
        <v>1.0009999999999999</v>
      </c>
      <c r="J14" s="408">
        <v>1.0009999999999999</v>
      </c>
      <c r="K14" s="408">
        <v>1.0009999999999999</v>
      </c>
      <c r="L14" s="408" t="s">
        <v>36</v>
      </c>
      <c r="M14" s="408" t="s">
        <v>36</v>
      </c>
      <c r="N14" s="408" t="s">
        <v>36</v>
      </c>
      <c r="O14" s="408" t="s">
        <v>36</v>
      </c>
      <c r="P14" s="408" t="s">
        <v>36</v>
      </c>
      <c r="Q14" s="408" t="s">
        <v>36</v>
      </c>
      <c r="R14" s="408" t="s">
        <v>36</v>
      </c>
      <c r="S14" s="418"/>
    </row>
    <row r="15" spans="1:20">
      <c r="A15" s="1">
        <v>1993</v>
      </c>
      <c r="B15" s="408">
        <v>1.002</v>
      </c>
      <c r="C15" s="408">
        <v>1.0029999999999999</v>
      </c>
      <c r="D15" s="408">
        <v>1.002</v>
      </c>
      <c r="E15" s="408">
        <v>1.002</v>
      </c>
      <c r="F15" s="408">
        <v>1.002</v>
      </c>
      <c r="G15" s="408">
        <v>1.0009999999999999</v>
      </c>
      <c r="H15" s="408">
        <v>1.0009999999999999</v>
      </c>
      <c r="I15" s="408">
        <v>1.0009999999999999</v>
      </c>
      <c r="J15" s="408">
        <v>1.0009999999999999</v>
      </c>
      <c r="K15" s="408" t="s">
        <v>36</v>
      </c>
      <c r="L15" s="408" t="s">
        <v>36</v>
      </c>
      <c r="M15" s="408" t="s">
        <v>36</v>
      </c>
      <c r="N15" s="408" t="s">
        <v>36</v>
      </c>
      <c r="O15" s="408" t="s">
        <v>36</v>
      </c>
      <c r="P15" s="408" t="s">
        <v>36</v>
      </c>
      <c r="Q15" s="408" t="s">
        <v>36</v>
      </c>
      <c r="R15" s="408" t="s">
        <v>36</v>
      </c>
      <c r="S15" s="418"/>
    </row>
    <row r="16" spans="1:20">
      <c r="A16" s="1">
        <v>1994</v>
      </c>
      <c r="B16" s="408">
        <v>1.004</v>
      </c>
      <c r="C16" s="408">
        <v>1.002</v>
      </c>
      <c r="D16" s="408">
        <v>1.0029999999999999</v>
      </c>
      <c r="E16" s="408">
        <v>1.0029999999999999</v>
      </c>
      <c r="F16" s="408">
        <v>1.002</v>
      </c>
      <c r="G16" s="408">
        <v>1.002</v>
      </c>
      <c r="H16" s="408">
        <v>1.002</v>
      </c>
      <c r="I16" s="408">
        <v>1.0009999999999999</v>
      </c>
      <c r="J16" s="408" t="s">
        <v>36</v>
      </c>
      <c r="K16" s="408" t="s">
        <v>36</v>
      </c>
      <c r="L16" s="408" t="s">
        <v>36</v>
      </c>
      <c r="M16" s="408" t="s">
        <v>36</v>
      </c>
      <c r="N16" s="408" t="s">
        <v>36</v>
      </c>
      <c r="O16" s="408" t="s">
        <v>36</v>
      </c>
      <c r="P16" s="408" t="s">
        <v>36</v>
      </c>
      <c r="Q16" s="408" t="s">
        <v>36</v>
      </c>
      <c r="R16" s="408" t="s">
        <v>36</v>
      </c>
      <c r="S16" s="418"/>
    </row>
    <row r="17" spans="1:20">
      <c r="A17" s="1">
        <v>1995</v>
      </c>
      <c r="B17" s="408">
        <v>1.0049999999999999</v>
      </c>
      <c r="C17" s="408">
        <v>1.004</v>
      </c>
      <c r="D17" s="408">
        <v>1.0029999999999999</v>
      </c>
      <c r="E17" s="408">
        <v>1.002</v>
      </c>
      <c r="F17" s="408">
        <v>1.0029999999999999</v>
      </c>
      <c r="G17" s="408">
        <v>1.002</v>
      </c>
      <c r="H17" s="408">
        <v>1.002</v>
      </c>
      <c r="I17" s="408" t="s">
        <v>36</v>
      </c>
      <c r="J17" s="408" t="s">
        <v>36</v>
      </c>
      <c r="K17" s="408" t="s">
        <v>36</v>
      </c>
      <c r="L17" s="408" t="s">
        <v>36</v>
      </c>
      <c r="M17" s="408" t="s">
        <v>36</v>
      </c>
      <c r="N17" s="408" t="s">
        <v>36</v>
      </c>
      <c r="O17" s="408" t="s">
        <v>36</v>
      </c>
      <c r="P17" s="408" t="s">
        <v>36</v>
      </c>
      <c r="Q17" s="408" t="s">
        <v>36</v>
      </c>
      <c r="R17" s="408" t="s">
        <v>36</v>
      </c>
      <c r="S17" s="418"/>
    </row>
    <row r="18" spans="1:20">
      <c r="A18" s="1">
        <v>1996</v>
      </c>
      <c r="B18" s="408">
        <v>1.0049999999999999</v>
      </c>
      <c r="C18" s="408">
        <v>1.004</v>
      </c>
      <c r="D18" s="408">
        <v>1.0029999999999999</v>
      </c>
      <c r="E18" s="408">
        <v>1.0029999999999999</v>
      </c>
      <c r="F18" s="408">
        <v>1.002</v>
      </c>
      <c r="G18" s="408">
        <v>1.0029999999999999</v>
      </c>
      <c r="H18" s="408" t="s">
        <v>36</v>
      </c>
      <c r="I18" s="408" t="s">
        <v>36</v>
      </c>
      <c r="J18" s="408" t="s">
        <v>36</v>
      </c>
      <c r="K18" s="408" t="s">
        <v>36</v>
      </c>
      <c r="L18" s="408" t="s">
        <v>36</v>
      </c>
      <c r="M18" s="408" t="s">
        <v>36</v>
      </c>
      <c r="N18" s="408" t="s">
        <v>36</v>
      </c>
      <c r="O18" s="408" t="s">
        <v>36</v>
      </c>
      <c r="P18" s="408" t="s">
        <v>36</v>
      </c>
      <c r="Q18" s="408" t="s">
        <v>36</v>
      </c>
      <c r="R18" s="408" t="s">
        <v>36</v>
      </c>
      <c r="S18" s="418"/>
    </row>
    <row r="19" spans="1:20">
      <c r="A19" s="1">
        <v>1997</v>
      </c>
      <c r="B19" s="408">
        <v>1.004</v>
      </c>
      <c r="C19" s="408">
        <v>1.0029999999999999</v>
      </c>
      <c r="D19" s="408">
        <v>1.002</v>
      </c>
      <c r="E19" s="408">
        <v>1.002</v>
      </c>
      <c r="F19" s="408">
        <v>1.0029999999999999</v>
      </c>
      <c r="G19" s="408" t="s">
        <v>36</v>
      </c>
      <c r="H19" s="408" t="s">
        <v>36</v>
      </c>
      <c r="I19" s="408" t="s">
        <v>36</v>
      </c>
      <c r="J19" s="408" t="s">
        <v>36</v>
      </c>
      <c r="K19" s="408" t="s">
        <v>36</v>
      </c>
      <c r="L19" s="408" t="s">
        <v>36</v>
      </c>
      <c r="M19" s="408" t="s">
        <v>36</v>
      </c>
      <c r="N19" s="408" t="s">
        <v>36</v>
      </c>
      <c r="O19" s="408" t="s">
        <v>36</v>
      </c>
      <c r="P19" s="408" t="s">
        <v>36</v>
      </c>
      <c r="Q19" s="408" t="s">
        <v>36</v>
      </c>
      <c r="R19" s="408" t="s">
        <v>36</v>
      </c>
      <c r="S19" s="418"/>
    </row>
    <row r="20" spans="1:20">
      <c r="A20" s="1">
        <v>1998</v>
      </c>
      <c r="B20" s="408">
        <v>1.0049999999999999</v>
      </c>
      <c r="C20" s="408">
        <v>1.004</v>
      </c>
      <c r="D20" s="408">
        <v>1.0029999999999999</v>
      </c>
      <c r="E20" s="408">
        <v>1.0029999999999999</v>
      </c>
      <c r="F20" s="408" t="s">
        <v>36</v>
      </c>
      <c r="G20" s="408" t="s">
        <v>36</v>
      </c>
      <c r="H20" s="408" t="s">
        <v>36</v>
      </c>
      <c r="I20" s="408" t="s">
        <v>36</v>
      </c>
      <c r="J20" s="408" t="s">
        <v>36</v>
      </c>
      <c r="K20" s="408" t="s">
        <v>36</v>
      </c>
      <c r="L20" s="408" t="s">
        <v>36</v>
      </c>
      <c r="M20" s="408" t="s">
        <v>36</v>
      </c>
      <c r="N20" s="408" t="s">
        <v>36</v>
      </c>
      <c r="O20" s="408" t="s">
        <v>36</v>
      </c>
      <c r="P20" s="408" t="s">
        <v>36</v>
      </c>
      <c r="Q20" s="408" t="s">
        <v>36</v>
      </c>
      <c r="R20" s="408" t="s">
        <v>36</v>
      </c>
      <c r="S20" s="418"/>
    </row>
    <row r="21" spans="1:20">
      <c r="A21" s="1">
        <v>1999</v>
      </c>
      <c r="B21" s="408">
        <v>1.004</v>
      </c>
      <c r="C21" s="408">
        <v>1.0029999999999999</v>
      </c>
      <c r="D21" s="408">
        <v>1.0029999999999999</v>
      </c>
      <c r="E21" s="408" t="s">
        <v>36</v>
      </c>
      <c r="F21" s="408" t="s">
        <v>36</v>
      </c>
      <c r="G21" s="408" t="s">
        <v>36</v>
      </c>
      <c r="H21" s="408" t="s">
        <v>36</v>
      </c>
      <c r="I21" s="408" t="s">
        <v>36</v>
      </c>
      <c r="J21" s="408" t="s">
        <v>36</v>
      </c>
      <c r="K21" s="408" t="s">
        <v>36</v>
      </c>
      <c r="L21" s="408" t="s">
        <v>36</v>
      </c>
      <c r="M21" s="408" t="s">
        <v>36</v>
      </c>
      <c r="N21" s="408" t="s">
        <v>36</v>
      </c>
      <c r="O21" s="408" t="s">
        <v>36</v>
      </c>
      <c r="P21" s="408" t="s">
        <v>36</v>
      </c>
      <c r="Q21" s="408" t="s">
        <v>36</v>
      </c>
      <c r="R21" s="408" t="s">
        <v>36</v>
      </c>
      <c r="S21" s="418"/>
    </row>
    <row r="22" spans="1:20">
      <c r="A22" s="1">
        <v>2000</v>
      </c>
      <c r="B22" s="408">
        <v>1.004</v>
      </c>
      <c r="C22" s="408">
        <v>1.004</v>
      </c>
      <c r="D22" s="408" t="s">
        <v>36</v>
      </c>
      <c r="E22" s="408" t="s">
        <v>36</v>
      </c>
      <c r="F22" s="408" t="s">
        <v>36</v>
      </c>
      <c r="G22" s="408" t="s">
        <v>36</v>
      </c>
      <c r="H22" s="408" t="s">
        <v>36</v>
      </c>
      <c r="I22" s="408" t="s">
        <v>36</v>
      </c>
      <c r="J22" s="408" t="s">
        <v>36</v>
      </c>
      <c r="K22" s="408" t="s">
        <v>36</v>
      </c>
      <c r="L22" s="408" t="s">
        <v>36</v>
      </c>
      <c r="M22" s="408" t="s">
        <v>36</v>
      </c>
      <c r="N22" s="408" t="s">
        <v>36</v>
      </c>
      <c r="O22" s="408" t="s">
        <v>36</v>
      </c>
      <c r="P22" s="408" t="s">
        <v>36</v>
      </c>
      <c r="Q22" s="408" t="s">
        <v>36</v>
      </c>
      <c r="R22" s="408" t="s">
        <v>36</v>
      </c>
      <c r="S22" s="418"/>
    </row>
    <row r="23" spans="1:20">
      <c r="A23" s="1">
        <v>2001</v>
      </c>
      <c r="B23" s="408">
        <v>1.0049999999999999</v>
      </c>
      <c r="C23" s="408" t="s">
        <v>36</v>
      </c>
      <c r="D23" s="408" t="s">
        <v>36</v>
      </c>
      <c r="E23" s="408" t="s">
        <v>36</v>
      </c>
      <c r="F23" s="408" t="s">
        <v>36</v>
      </c>
      <c r="G23" s="408" t="s">
        <v>36</v>
      </c>
      <c r="H23" s="408" t="s">
        <v>36</v>
      </c>
      <c r="I23" s="408" t="s">
        <v>36</v>
      </c>
      <c r="J23" s="408" t="s">
        <v>36</v>
      </c>
      <c r="K23" s="408" t="s">
        <v>36</v>
      </c>
      <c r="L23" s="408" t="s">
        <v>36</v>
      </c>
      <c r="M23" s="408" t="s">
        <v>36</v>
      </c>
      <c r="N23" s="408" t="s">
        <v>36</v>
      </c>
      <c r="O23" s="408" t="s">
        <v>36</v>
      </c>
      <c r="P23" s="408" t="s">
        <v>36</v>
      </c>
      <c r="Q23" s="408" t="s">
        <v>36</v>
      </c>
      <c r="R23" s="408" t="s">
        <v>36</v>
      </c>
      <c r="S23" s="418"/>
    </row>
    <row r="24" spans="1:20">
      <c r="A24" s="24"/>
      <c r="B24" s="411"/>
      <c r="C24" s="411"/>
      <c r="D24" s="411"/>
      <c r="E24" s="411"/>
      <c r="F24" s="411"/>
      <c r="G24" s="411"/>
      <c r="H24" s="411"/>
      <c r="I24" s="411"/>
      <c r="J24" s="411"/>
      <c r="K24" s="411"/>
      <c r="L24" s="411"/>
      <c r="M24" s="411"/>
      <c r="N24" s="411"/>
      <c r="O24" s="411"/>
      <c r="P24" s="411"/>
      <c r="Q24" s="418"/>
      <c r="R24" s="418"/>
      <c r="S24" s="418"/>
    </row>
    <row r="25" spans="1:20">
      <c r="A25" s="25"/>
      <c r="B25" s="23"/>
      <c r="C25" s="23"/>
      <c r="D25" s="23"/>
      <c r="E25" s="23"/>
      <c r="F25" s="23"/>
      <c r="G25" s="23"/>
      <c r="H25" s="23"/>
      <c r="I25" s="23"/>
      <c r="J25" s="23"/>
      <c r="K25" s="23"/>
      <c r="L25" s="23"/>
      <c r="M25" s="23"/>
      <c r="N25" s="24"/>
      <c r="O25" s="24"/>
      <c r="P25" s="4"/>
      <c r="Q25" s="26"/>
      <c r="R25" s="26"/>
      <c r="S25" s="26"/>
    </row>
    <row r="26" spans="1:20">
      <c r="A26" s="1" t="s">
        <v>20</v>
      </c>
      <c r="B26" s="13">
        <f>AVERAGE(B21:B23)</f>
        <v>1.0043333333333333</v>
      </c>
      <c r="C26" s="13">
        <f>AVERAGE(C20:C22)</f>
        <v>1.0036666666666665</v>
      </c>
      <c r="D26" s="13">
        <f>AVERAGE(D19:D21)</f>
        <v>1.0026666666666666</v>
      </c>
      <c r="E26" s="13">
        <f>AVERAGE(E18:E20)</f>
        <v>1.0026666666666666</v>
      </c>
      <c r="F26" s="13">
        <f>AVERAGE(F17:F19)</f>
        <v>1.0026666666666666</v>
      </c>
      <c r="G26" s="13">
        <f>AVERAGE(G16:G18)</f>
        <v>1.0023333333333333</v>
      </c>
      <c r="H26" s="13">
        <f>AVERAGE(H15:H17)</f>
        <v>1.0016666666666667</v>
      </c>
      <c r="I26" s="13">
        <f>AVERAGE(I14:I16)</f>
        <v>1.0009999999999999</v>
      </c>
      <c r="J26" s="13">
        <f>AVERAGE(J13:J15)</f>
        <v>1.0009999999999999</v>
      </c>
      <c r="K26" s="13">
        <f>AVERAGE(K12:K14)</f>
        <v>1.0006666666666666</v>
      </c>
      <c r="L26" s="13">
        <f>AVERAGE(L11:L13)</f>
        <v>1.0006666666666666</v>
      </c>
      <c r="M26" s="13">
        <f>AVERAGE(M10:M12)</f>
        <v>1.0006666666666666</v>
      </c>
      <c r="N26" s="13">
        <f>AVERAGE(N9:N11)</f>
        <v>1.0006666666666666</v>
      </c>
      <c r="O26" s="13">
        <f>AVERAGE(O8:O10)</f>
        <v>1.0009999999999999</v>
      </c>
      <c r="P26" s="13">
        <f>AVERAGE(P7:P9)</f>
        <v>1.0009999999999999</v>
      </c>
      <c r="Q26" s="13">
        <f>AVERAGE(Q6:Q8)</f>
        <v>1.0003333333333333</v>
      </c>
      <c r="R26" s="13">
        <f>AVERAGE(R5:R7)</f>
        <v>1.0003333333333333</v>
      </c>
      <c r="S26" s="13">
        <f>AVERAGE(S8:S10)</f>
        <v>1.0036666666666667</v>
      </c>
    </row>
    <row r="27" spans="1:20">
      <c r="A27" s="12" t="s">
        <v>21</v>
      </c>
      <c r="B27" s="23">
        <f t="shared" ref="B27:P27" si="0">B26*C27</f>
        <v>1.0355694787477538</v>
      </c>
      <c r="C27" s="23">
        <f t="shared" si="0"/>
        <v>1.0311013727989584</v>
      </c>
      <c r="D27" s="23">
        <f t="shared" si="0"/>
        <v>1.0273344797067008</v>
      </c>
      <c r="E27" s="23">
        <f t="shared" si="0"/>
        <v>1.0246022071542895</v>
      </c>
      <c r="F27" s="23">
        <f t="shared" si="0"/>
        <v>1.0218772012841983</v>
      </c>
      <c r="G27" s="23">
        <f t="shared" si="0"/>
        <v>1.0191594427701447</v>
      </c>
      <c r="H27" s="23">
        <f t="shared" si="0"/>
        <v>1.016786939910354</v>
      </c>
      <c r="I27" s="23">
        <f t="shared" si="0"/>
        <v>1.0150951147191554</v>
      </c>
      <c r="J27" s="23">
        <f t="shared" si="0"/>
        <v>1.01408103368547</v>
      </c>
      <c r="K27" s="23">
        <f t="shared" si="0"/>
        <v>1.0130679657197503</v>
      </c>
      <c r="L27" s="23">
        <f t="shared" si="0"/>
        <v>1.0123930370283982</v>
      </c>
      <c r="M27" s="23">
        <f t="shared" si="0"/>
        <v>1.0117185579897385</v>
      </c>
      <c r="N27" s="23">
        <f t="shared" si="0"/>
        <v>1.0110445283042024</v>
      </c>
      <c r="O27" s="23">
        <f t="shared" si="0"/>
        <v>1.010370947672421</v>
      </c>
      <c r="P27" s="23">
        <f t="shared" si="0"/>
        <v>1.0093615860863347</v>
      </c>
      <c r="Q27" s="23">
        <f>Q26*R27</f>
        <v>1.0083532328534814</v>
      </c>
      <c r="R27" s="23">
        <f>R26*S26*T27</f>
        <v>1.0080172271111112</v>
      </c>
      <c r="S27" s="23"/>
      <c r="T27" s="13">
        <f>'Exhibit 2.1.2'!S27</f>
        <v>1.004</v>
      </c>
    </row>
    <row r="28" spans="1:20">
      <c r="A28" s="24"/>
      <c r="B28" s="192"/>
      <c r="C28" s="192"/>
      <c r="D28" s="192"/>
      <c r="E28" s="192"/>
      <c r="F28" s="192"/>
      <c r="G28" s="192"/>
      <c r="H28" s="193"/>
      <c r="I28" s="193"/>
      <c r="J28" s="193"/>
      <c r="K28" s="193"/>
      <c r="L28" s="193"/>
      <c r="M28" s="193"/>
      <c r="N28" s="193"/>
      <c r="O28" s="193"/>
      <c r="P28" s="193"/>
      <c r="Q28" s="23"/>
      <c r="R28" s="23"/>
      <c r="S28" s="23"/>
    </row>
    <row r="29" spans="1:20" ht="13.15" customHeight="1">
      <c r="A29" s="27" t="s">
        <v>25</v>
      </c>
      <c r="B29" s="526" t="s">
        <v>471</v>
      </c>
      <c r="C29" s="526"/>
      <c r="D29" s="526"/>
      <c r="E29" s="526"/>
      <c r="F29" s="526"/>
      <c r="G29" s="526"/>
      <c r="H29" s="526"/>
      <c r="I29" s="526"/>
      <c r="J29" s="526"/>
      <c r="K29" s="526"/>
      <c r="L29" s="526"/>
      <c r="M29" s="526"/>
      <c r="N29" s="526"/>
      <c r="O29" s="526"/>
      <c r="P29" s="526"/>
      <c r="Q29" s="526"/>
      <c r="R29" s="373"/>
      <c r="S29" s="346"/>
    </row>
    <row r="30" spans="1:20" ht="28.5" customHeight="1">
      <c r="A30" s="27" t="s">
        <v>26</v>
      </c>
      <c r="B30" s="526" t="s">
        <v>425</v>
      </c>
      <c r="C30" s="526"/>
      <c r="D30" s="526"/>
      <c r="E30" s="526"/>
      <c r="F30" s="526"/>
      <c r="G30" s="526"/>
      <c r="H30" s="526"/>
      <c r="I30" s="526"/>
      <c r="J30" s="526"/>
      <c r="K30" s="526"/>
      <c r="L30" s="526"/>
      <c r="M30" s="526"/>
      <c r="N30" s="526"/>
      <c r="O30" s="526"/>
      <c r="P30" s="526"/>
      <c r="Q30" s="526"/>
      <c r="R30" s="526"/>
      <c r="S30" s="526"/>
    </row>
  </sheetData>
  <mergeCells count="4">
    <mergeCell ref="B29:Q29"/>
    <mergeCell ref="B3:T3"/>
    <mergeCell ref="A1:T1"/>
    <mergeCell ref="B30:S30"/>
  </mergeCells>
  <pageMargins left="0.7" right="0.7" top="0.75" bottom="0.75" header="0.3" footer="0.3"/>
  <pageSetup scale="66"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Q74"/>
  <sheetViews>
    <sheetView zoomScaleNormal="100" workbookViewId="0">
      <selection sqref="A1:Q1"/>
    </sheetView>
  </sheetViews>
  <sheetFormatPr defaultColWidth="9.140625" defaultRowHeight="12.75"/>
  <cols>
    <col min="1" max="1" width="20.5703125" style="136" customWidth="1"/>
    <col min="2" max="17" width="9.7109375" style="136" customWidth="1"/>
    <col min="18" max="16384" width="9.140625" style="136"/>
  </cols>
  <sheetData>
    <row r="1" spans="1:17" ht="13.15" customHeight="1">
      <c r="A1" s="531" t="s">
        <v>37</v>
      </c>
      <c r="B1" s="531"/>
      <c r="C1" s="531"/>
      <c r="D1" s="531"/>
      <c r="E1" s="531"/>
      <c r="F1" s="531"/>
      <c r="G1" s="531"/>
      <c r="H1" s="531"/>
      <c r="I1" s="531"/>
      <c r="J1" s="531"/>
      <c r="K1" s="531"/>
      <c r="L1" s="531"/>
      <c r="M1" s="531"/>
      <c r="N1" s="531"/>
      <c r="O1" s="531"/>
      <c r="P1" s="531"/>
      <c r="Q1" s="531"/>
    </row>
    <row r="2" spans="1:17" ht="13.15" customHeight="1"/>
    <row r="3" spans="1:17" ht="13.15" customHeight="1">
      <c r="A3" s="1" t="s">
        <v>67</v>
      </c>
      <c r="B3" s="538" t="s">
        <v>18</v>
      </c>
      <c r="C3" s="538"/>
      <c r="D3" s="538"/>
      <c r="E3" s="538"/>
      <c r="F3" s="538"/>
      <c r="G3" s="538"/>
      <c r="H3" s="538"/>
      <c r="I3" s="538"/>
      <c r="J3" s="538"/>
      <c r="K3" s="538"/>
      <c r="L3" s="538"/>
      <c r="M3" s="538"/>
      <c r="N3" s="538"/>
      <c r="O3" s="538"/>
      <c r="P3" s="538"/>
      <c r="Q3" s="538"/>
    </row>
    <row r="4" spans="1:17" ht="13.15" customHeight="1">
      <c r="A4" s="26" t="s">
        <v>19</v>
      </c>
      <c r="B4" s="407" t="s">
        <v>435</v>
      </c>
      <c r="C4" s="407" t="s">
        <v>436</v>
      </c>
      <c r="D4" s="407" t="s">
        <v>437</v>
      </c>
      <c r="E4" s="407" t="s">
        <v>438</v>
      </c>
      <c r="F4" s="407" t="s">
        <v>439</v>
      </c>
      <c r="G4" s="407" t="s">
        <v>440</v>
      </c>
      <c r="H4" s="407" t="s">
        <v>441</v>
      </c>
      <c r="I4" s="407" t="s">
        <v>442</v>
      </c>
      <c r="J4" s="407" t="s">
        <v>443</v>
      </c>
      <c r="K4" s="407" t="s">
        <v>444</v>
      </c>
      <c r="L4" s="407" t="s">
        <v>445</v>
      </c>
      <c r="M4" s="407" t="s">
        <v>446</v>
      </c>
      <c r="N4" s="407" t="s">
        <v>447</v>
      </c>
      <c r="O4" s="407" t="s">
        <v>448</v>
      </c>
      <c r="P4" s="407" t="s">
        <v>449</v>
      </c>
      <c r="Q4" s="407" t="s">
        <v>450</v>
      </c>
    </row>
    <row r="5" spans="1:17" ht="12" customHeight="1">
      <c r="A5" s="1">
        <v>1993</v>
      </c>
      <c r="B5" s="407"/>
      <c r="C5" s="407"/>
      <c r="D5" s="407"/>
      <c r="E5" s="407"/>
      <c r="F5" s="407"/>
      <c r="G5" s="407"/>
      <c r="H5" s="407"/>
      <c r="I5" s="407"/>
      <c r="J5" s="407"/>
      <c r="K5" s="407"/>
      <c r="L5" s="407"/>
      <c r="M5" s="407"/>
      <c r="N5" s="407"/>
      <c r="O5" s="407"/>
      <c r="P5" s="407"/>
      <c r="Q5" s="408">
        <v>1.0109999999999999</v>
      </c>
    </row>
    <row r="6" spans="1:17" ht="12" customHeight="1">
      <c r="A6" s="1">
        <v>1994</v>
      </c>
      <c r="B6" s="408" t="s">
        <v>36</v>
      </c>
      <c r="C6" s="408" t="s">
        <v>36</v>
      </c>
      <c r="D6" s="408" t="s">
        <v>36</v>
      </c>
      <c r="E6" s="408" t="s">
        <v>36</v>
      </c>
      <c r="F6" s="408" t="s">
        <v>36</v>
      </c>
      <c r="G6" s="408" t="s">
        <v>36</v>
      </c>
      <c r="H6" s="408" t="s">
        <v>36</v>
      </c>
      <c r="I6" s="408" t="s">
        <v>36</v>
      </c>
      <c r="J6" s="408">
        <v>1.03</v>
      </c>
      <c r="K6" s="408">
        <v>1.0229999999999999</v>
      </c>
      <c r="L6" s="408">
        <v>1.018</v>
      </c>
      <c r="M6" s="408">
        <v>1.018</v>
      </c>
      <c r="N6" s="408">
        <v>1.0149999999999999</v>
      </c>
      <c r="O6" s="408">
        <v>1.016</v>
      </c>
      <c r="P6" s="408">
        <v>1.012</v>
      </c>
      <c r="Q6" s="408">
        <v>1.0129999999999999</v>
      </c>
    </row>
    <row r="7" spans="1:17" ht="12" customHeight="1">
      <c r="A7" s="1">
        <v>1995</v>
      </c>
      <c r="B7" s="408" t="s">
        <v>36</v>
      </c>
      <c r="C7" s="408" t="s">
        <v>36</v>
      </c>
      <c r="D7" s="408" t="s">
        <v>36</v>
      </c>
      <c r="E7" s="408" t="s">
        <v>36</v>
      </c>
      <c r="F7" s="408" t="s">
        <v>36</v>
      </c>
      <c r="G7" s="408" t="s">
        <v>36</v>
      </c>
      <c r="H7" s="408" t="s">
        <v>36</v>
      </c>
      <c r="I7" s="408">
        <v>1.036</v>
      </c>
      <c r="J7" s="408">
        <v>1.0269999999999999</v>
      </c>
      <c r="K7" s="408">
        <v>1.024</v>
      </c>
      <c r="L7" s="408">
        <v>1.02</v>
      </c>
      <c r="M7" s="408">
        <v>1.0229999999999999</v>
      </c>
      <c r="N7" s="408">
        <v>1.0189999999999999</v>
      </c>
      <c r="O7" s="408">
        <v>1.018</v>
      </c>
      <c r="P7" s="408">
        <v>1.0169999999999999</v>
      </c>
      <c r="Q7" s="408">
        <v>1.0129999999999999</v>
      </c>
    </row>
    <row r="8" spans="1:17" ht="12" customHeight="1">
      <c r="A8" s="1">
        <v>1996</v>
      </c>
      <c r="B8" s="408" t="s">
        <v>36</v>
      </c>
      <c r="C8" s="408" t="s">
        <v>36</v>
      </c>
      <c r="D8" s="408" t="s">
        <v>36</v>
      </c>
      <c r="E8" s="408" t="s">
        <v>36</v>
      </c>
      <c r="F8" s="408" t="s">
        <v>36</v>
      </c>
      <c r="G8" s="408" t="s">
        <v>36</v>
      </c>
      <c r="H8" s="408">
        <v>1.048</v>
      </c>
      <c r="I8" s="408">
        <v>1.034</v>
      </c>
      <c r="J8" s="408">
        <v>1.028</v>
      </c>
      <c r="K8" s="408">
        <v>1.026</v>
      </c>
      <c r="L8" s="408">
        <v>1.0249999999999999</v>
      </c>
      <c r="M8" s="408">
        <v>1.0229999999999999</v>
      </c>
      <c r="N8" s="408">
        <v>1.022</v>
      </c>
      <c r="O8" s="408">
        <v>1.014</v>
      </c>
      <c r="P8" s="408">
        <v>1.014</v>
      </c>
      <c r="Q8" s="408">
        <v>1.014</v>
      </c>
    </row>
    <row r="9" spans="1:17" ht="12" customHeight="1">
      <c r="A9" s="1">
        <v>1997</v>
      </c>
      <c r="B9" s="408" t="s">
        <v>36</v>
      </c>
      <c r="C9" s="408" t="s">
        <v>36</v>
      </c>
      <c r="D9" s="408" t="s">
        <v>36</v>
      </c>
      <c r="E9" s="408" t="s">
        <v>36</v>
      </c>
      <c r="F9" s="408" t="s">
        <v>36</v>
      </c>
      <c r="G9" s="408">
        <v>1.0640000000000001</v>
      </c>
      <c r="H9" s="408">
        <v>1.0489999999999999</v>
      </c>
      <c r="I9" s="408">
        <v>1.034</v>
      </c>
      <c r="J9" s="408">
        <v>1.032</v>
      </c>
      <c r="K9" s="408">
        <v>1.028</v>
      </c>
      <c r="L9" s="408">
        <v>1.0249999999999999</v>
      </c>
      <c r="M9" s="408">
        <v>1.02</v>
      </c>
      <c r="N9" s="408">
        <v>1.0189999999999999</v>
      </c>
      <c r="O9" s="408">
        <v>1.014</v>
      </c>
      <c r="P9" s="408">
        <v>1.014</v>
      </c>
      <c r="Q9" s="408">
        <v>1.0149999999999999</v>
      </c>
    </row>
    <row r="10" spans="1:17" ht="12" customHeight="1">
      <c r="A10" s="1">
        <v>1998</v>
      </c>
      <c r="B10" s="408" t="s">
        <v>36</v>
      </c>
      <c r="C10" s="408" t="s">
        <v>36</v>
      </c>
      <c r="D10" s="408" t="s">
        <v>36</v>
      </c>
      <c r="E10" s="408" t="s">
        <v>36</v>
      </c>
      <c r="F10" s="408">
        <v>1.0900000000000001</v>
      </c>
      <c r="G10" s="408">
        <v>1.0609999999999999</v>
      </c>
      <c r="H10" s="408">
        <v>1.044</v>
      </c>
      <c r="I10" s="408">
        <v>1.0369999999999999</v>
      </c>
      <c r="J10" s="408">
        <v>1.0329999999999999</v>
      </c>
      <c r="K10" s="408">
        <v>1.032</v>
      </c>
      <c r="L10" s="408">
        <v>1.0269999999999999</v>
      </c>
      <c r="M10" s="408">
        <v>1.0209999999999999</v>
      </c>
      <c r="N10" s="408">
        <v>1.0169999999999999</v>
      </c>
      <c r="O10" s="408">
        <v>1.0189999999999999</v>
      </c>
      <c r="P10" s="408">
        <v>1.018</v>
      </c>
      <c r="Q10" s="408">
        <v>1.0169999999999999</v>
      </c>
    </row>
    <row r="11" spans="1:17" ht="12" customHeight="1">
      <c r="A11" s="1">
        <v>1999</v>
      </c>
      <c r="B11" s="408" t="s">
        <v>36</v>
      </c>
      <c r="C11" s="408" t="s">
        <v>36</v>
      </c>
      <c r="D11" s="408" t="s">
        <v>36</v>
      </c>
      <c r="E11" s="408">
        <v>1.1279999999999999</v>
      </c>
      <c r="F11" s="408">
        <v>1.08</v>
      </c>
      <c r="G11" s="408">
        <v>1.0529999999999999</v>
      </c>
      <c r="H11" s="408">
        <v>1.042</v>
      </c>
      <c r="I11" s="408">
        <v>1.0309999999999999</v>
      </c>
      <c r="J11" s="408">
        <v>1.0349999999999999</v>
      </c>
      <c r="K11" s="408">
        <v>1.03</v>
      </c>
      <c r="L11" s="408">
        <v>1.0249999999999999</v>
      </c>
      <c r="M11" s="408">
        <v>1.02</v>
      </c>
      <c r="N11" s="408">
        <v>1.016</v>
      </c>
      <c r="O11" s="408">
        <v>1.018</v>
      </c>
      <c r="P11" s="408">
        <v>1.018</v>
      </c>
      <c r="Q11" s="408">
        <v>1.014</v>
      </c>
    </row>
    <row r="12" spans="1:17" ht="12" customHeight="1">
      <c r="A12" s="1">
        <v>2000</v>
      </c>
      <c r="B12" s="408" t="s">
        <v>36</v>
      </c>
      <c r="C12" s="408" t="s">
        <v>36</v>
      </c>
      <c r="D12" s="408">
        <v>1.1990000000000001</v>
      </c>
      <c r="E12" s="408">
        <v>1.1100000000000001</v>
      </c>
      <c r="F12" s="408">
        <v>1.071</v>
      </c>
      <c r="G12" s="408">
        <v>1.0509999999999999</v>
      </c>
      <c r="H12" s="408">
        <v>1.0389999999999999</v>
      </c>
      <c r="I12" s="408">
        <v>1.0369999999999999</v>
      </c>
      <c r="J12" s="408">
        <v>1.03</v>
      </c>
      <c r="K12" s="408">
        <v>1.026</v>
      </c>
      <c r="L12" s="408">
        <v>1.022</v>
      </c>
      <c r="M12" s="408">
        <v>1.02</v>
      </c>
      <c r="N12" s="408">
        <v>1.0209999999999999</v>
      </c>
      <c r="O12" s="408">
        <v>1.016</v>
      </c>
      <c r="P12" s="408">
        <v>1.012</v>
      </c>
      <c r="Q12" s="408">
        <v>1.0109999999999999</v>
      </c>
    </row>
    <row r="13" spans="1:17" ht="12" customHeight="1">
      <c r="A13" s="1">
        <v>2001</v>
      </c>
      <c r="B13" s="408" t="s">
        <v>36</v>
      </c>
      <c r="C13" s="408">
        <v>1.381</v>
      </c>
      <c r="D13" s="408">
        <v>1.18</v>
      </c>
      <c r="E13" s="408">
        <v>1.0940000000000001</v>
      </c>
      <c r="F13" s="408">
        <v>1.071</v>
      </c>
      <c r="G13" s="408">
        <v>1.054</v>
      </c>
      <c r="H13" s="408">
        <v>1.046</v>
      </c>
      <c r="I13" s="408">
        <v>1.0369999999999999</v>
      </c>
      <c r="J13" s="408">
        <v>1.0329999999999999</v>
      </c>
      <c r="K13" s="408">
        <v>1.026</v>
      </c>
      <c r="L13" s="408">
        <v>1.022</v>
      </c>
      <c r="M13" s="408">
        <v>1.026</v>
      </c>
      <c r="N13" s="408">
        <v>1.0189999999999999</v>
      </c>
      <c r="O13" s="408">
        <v>1.0169999999999999</v>
      </c>
      <c r="P13" s="408">
        <v>1.012</v>
      </c>
      <c r="Q13" s="408">
        <v>1.01</v>
      </c>
    </row>
    <row r="14" spans="1:17" ht="12" customHeight="1">
      <c r="A14" s="1">
        <v>2002</v>
      </c>
      <c r="B14" s="408">
        <v>2.0939999999999999</v>
      </c>
      <c r="C14" s="408">
        <v>1.323</v>
      </c>
      <c r="D14" s="408">
        <v>1.1479999999999999</v>
      </c>
      <c r="E14" s="408">
        <v>1.099</v>
      </c>
      <c r="F14" s="408">
        <v>1.0680000000000001</v>
      </c>
      <c r="G14" s="408">
        <v>1.0529999999999999</v>
      </c>
      <c r="H14" s="408">
        <v>1.0429999999999999</v>
      </c>
      <c r="I14" s="408">
        <v>1.032</v>
      </c>
      <c r="J14" s="408">
        <v>1.0269999999999999</v>
      </c>
      <c r="K14" s="408">
        <v>1.024</v>
      </c>
      <c r="L14" s="408">
        <v>1.026</v>
      </c>
      <c r="M14" s="408">
        <v>1.018</v>
      </c>
      <c r="N14" s="408">
        <v>1.0149999999999999</v>
      </c>
      <c r="O14" s="408">
        <v>1.0109999999999999</v>
      </c>
      <c r="P14" s="408">
        <v>1.0109999999999999</v>
      </c>
      <c r="Q14" s="408">
        <v>1.0089999999999999</v>
      </c>
    </row>
    <row r="15" spans="1:17" ht="12" customHeight="1">
      <c r="A15" s="1">
        <v>2003</v>
      </c>
      <c r="B15" s="408">
        <v>1.8779999999999999</v>
      </c>
      <c r="C15" s="408">
        <v>1.2589999999999999</v>
      </c>
      <c r="D15" s="408">
        <v>1.1539999999999999</v>
      </c>
      <c r="E15" s="408">
        <v>1.1000000000000001</v>
      </c>
      <c r="F15" s="408">
        <v>1.07</v>
      </c>
      <c r="G15" s="408">
        <v>1.0549999999999999</v>
      </c>
      <c r="H15" s="408">
        <v>1.0449999999999999</v>
      </c>
      <c r="I15" s="408">
        <v>1.0329999999999999</v>
      </c>
      <c r="J15" s="408">
        <v>1.0289999999999999</v>
      </c>
      <c r="K15" s="408">
        <v>1.0329999999999999</v>
      </c>
      <c r="L15" s="408">
        <v>1.0249999999999999</v>
      </c>
      <c r="M15" s="408">
        <v>1.018</v>
      </c>
      <c r="N15" s="408">
        <v>1.0149999999999999</v>
      </c>
      <c r="O15" s="408">
        <v>1.012</v>
      </c>
      <c r="P15" s="408">
        <v>1.0109999999999999</v>
      </c>
      <c r="Q15" s="408" t="s">
        <v>36</v>
      </c>
    </row>
    <row r="16" spans="1:17" ht="12" customHeight="1">
      <c r="A16" s="1">
        <v>2004</v>
      </c>
      <c r="B16" s="408">
        <v>1.744</v>
      </c>
      <c r="C16" s="408">
        <v>1.298</v>
      </c>
      <c r="D16" s="408">
        <v>1.165</v>
      </c>
      <c r="E16" s="408">
        <v>1.121</v>
      </c>
      <c r="F16" s="408">
        <v>1.0860000000000001</v>
      </c>
      <c r="G16" s="408">
        <v>1.0660000000000001</v>
      </c>
      <c r="H16" s="408">
        <v>1.0469999999999999</v>
      </c>
      <c r="I16" s="408">
        <v>1.0389999999999999</v>
      </c>
      <c r="J16" s="408">
        <v>1.0409999999999999</v>
      </c>
      <c r="K16" s="408">
        <v>1.0309999999999999</v>
      </c>
      <c r="L16" s="408">
        <v>1.022</v>
      </c>
      <c r="M16" s="408">
        <v>1.0169999999999999</v>
      </c>
      <c r="N16" s="408">
        <v>1.014</v>
      </c>
      <c r="O16" s="408">
        <v>1.0109999999999999</v>
      </c>
      <c r="P16" s="408" t="s">
        <v>36</v>
      </c>
      <c r="Q16" s="408" t="s">
        <v>36</v>
      </c>
    </row>
    <row r="17" spans="1:17" ht="12" customHeight="1">
      <c r="A17" s="1">
        <v>2005</v>
      </c>
      <c r="B17" s="408">
        <v>1.7270000000000001</v>
      </c>
      <c r="C17" s="408">
        <v>1.292</v>
      </c>
      <c r="D17" s="408">
        <v>1.1930000000000001</v>
      </c>
      <c r="E17" s="408">
        <v>1.123</v>
      </c>
      <c r="F17" s="408">
        <v>1.091</v>
      </c>
      <c r="G17" s="408">
        <v>1.0629999999999999</v>
      </c>
      <c r="H17" s="408">
        <v>1.0529999999999999</v>
      </c>
      <c r="I17" s="408">
        <v>1.0509999999999999</v>
      </c>
      <c r="J17" s="408">
        <v>1.0369999999999999</v>
      </c>
      <c r="K17" s="408">
        <v>1.0289999999999999</v>
      </c>
      <c r="L17" s="408">
        <v>1.02</v>
      </c>
      <c r="M17" s="408">
        <v>1.0169999999999999</v>
      </c>
      <c r="N17" s="408">
        <v>1.0129999999999999</v>
      </c>
      <c r="O17" s="408" t="s">
        <v>36</v>
      </c>
      <c r="P17" s="408" t="s">
        <v>36</v>
      </c>
      <c r="Q17" s="408" t="s">
        <v>36</v>
      </c>
    </row>
    <row r="18" spans="1:17" ht="12" customHeight="1">
      <c r="A18" s="1">
        <v>2006</v>
      </c>
      <c r="B18" s="408">
        <v>1.7729999999999999</v>
      </c>
      <c r="C18" s="408">
        <v>1.3420000000000001</v>
      </c>
      <c r="D18" s="408">
        <v>1.1950000000000001</v>
      </c>
      <c r="E18" s="408">
        <v>1.1259999999999999</v>
      </c>
      <c r="F18" s="408">
        <v>1.085</v>
      </c>
      <c r="G18" s="408">
        <v>1.0640000000000001</v>
      </c>
      <c r="H18" s="408">
        <v>1.0569999999999999</v>
      </c>
      <c r="I18" s="408">
        <v>1.04</v>
      </c>
      <c r="J18" s="408">
        <v>1.032</v>
      </c>
      <c r="K18" s="408">
        <v>1.0229999999999999</v>
      </c>
      <c r="L18" s="408">
        <v>1.018</v>
      </c>
      <c r="M18" s="408">
        <v>1.0149999999999999</v>
      </c>
      <c r="N18" s="408" t="s">
        <v>36</v>
      </c>
      <c r="O18" s="408" t="s">
        <v>36</v>
      </c>
      <c r="P18" s="408" t="s">
        <v>36</v>
      </c>
      <c r="Q18" s="408" t="s">
        <v>36</v>
      </c>
    </row>
    <row r="19" spans="1:17" ht="12" customHeight="1">
      <c r="A19" s="1">
        <v>2007</v>
      </c>
      <c r="B19" s="408">
        <v>1.851</v>
      </c>
      <c r="C19" s="408">
        <v>1.3520000000000001</v>
      </c>
      <c r="D19" s="408">
        <v>1.2030000000000001</v>
      </c>
      <c r="E19" s="408">
        <v>1.1200000000000001</v>
      </c>
      <c r="F19" s="408">
        <v>1.0920000000000001</v>
      </c>
      <c r="G19" s="408">
        <v>1.079</v>
      </c>
      <c r="H19" s="408">
        <v>1.0509999999999999</v>
      </c>
      <c r="I19" s="408">
        <v>1.038</v>
      </c>
      <c r="J19" s="408">
        <v>1.028</v>
      </c>
      <c r="K19" s="408">
        <v>1.0209999999999999</v>
      </c>
      <c r="L19" s="408">
        <v>1.0189999999999999</v>
      </c>
      <c r="M19" s="408" t="s">
        <v>36</v>
      </c>
      <c r="N19" s="408" t="s">
        <v>36</v>
      </c>
      <c r="O19" s="408" t="s">
        <v>36</v>
      </c>
      <c r="P19" s="408" t="s">
        <v>36</v>
      </c>
      <c r="Q19" s="408" t="s">
        <v>36</v>
      </c>
    </row>
    <row r="20" spans="1:17" ht="12" customHeight="1">
      <c r="A20" s="1">
        <v>2008</v>
      </c>
      <c r="B20" s="408">
        <v>1.8260000000000001</v>
      </c>
      <c r="C20" s="408">
        <v>1.359</v>
      </c>
      <c r="D20" s="408">
        <v>1.208</v>
      </c>
      <c r="E20" s="408">
        <v>1.1339999999999999</v>
      </c>
      <c r="F20" s="408">
        <v>1.0980000000000001</v>
      </c>
      <c r="G20" s="408">
        <v>1.0669999999999999</v>
      </c>
      <c r="H20" s="408">
        <v>1.0469999999999999</v>
      </c>
      <c r="I20" s="408">
        <v>1.0329999999999999</v>
      </c>
      <c r="J20" s="408">
        <v>1.024</v>
      </c>
      <c r="K20" s="408">
        <v>1.0189999999999999</v>
      </c>
      <c r="L20" s="408" t="s">
        <v>36</v>
      </c>
      <c r="M20" s="408" t="s">
        <v>36</v>
      </c>
      <c r="N20" s="408" t="s">
        <v>36</v>
      </c>
      <c r="O20" s="408" t="s">
        <v>36</v>
      </c>
      <c r="P20" s="408" t="s">
        <v>36</v>
      </c>
      <c r="Q20" s="408" t="s">
        <v>36</v>
      </c>
    </row>
    <row r="21" spans="1:17" ht="12" customHeight="1">
      <c r="A21" s="1">
        <v>2009</v>
      </c>
      <c r="B21" s="408">
        <v>1.8759999999999999</v>
      </c>
      <c r="C21" s="408">
        <v>1.385</v>
      </c>
      <c r="D21" s="408">
        <v>1.2210000000000001</v>
      </c>
      <c r="E21" s="408">
        <v>1.1499999999999999</v>
      </c>
      <c r="F21" s="408">
        <v>1.095</v>
      </c>
      <c r="G21" s="408">
        <v>1.0620000000000001</v>
      </c>
      <c r="H21" s="408">
        <v>1.042</v>
      </c>
      <c r="I21" s="408">
        <v>1.0289999999999999</v>
      </c>
      <c r="J21" s="408">
        <v>1.0229999999999999</v>
      </c>
      <c r="K21" s="408" t="s">
        <v>36</v>
      </c>
      <c r="L21" s="408" t="s">
        <v>36</v>
      </c>
      <c r="M21" s="408" t="s">
        <v>36</v>
      </c>
      <c r="N21" s="408" t="s">
        <v>36</v>
      </c>
      <c r="O21" s="408" t="s">
        <v>36</v>
      </c>
      <c r="P21" s="408" t="s">
        <v>36</v>
      </c>
      <c r="Q21" s="408" t="s">
        <v>36</v>
      </c>
    </row>
    <row r="22" spans="1:17" ht="12" customHeight="1">
      <c r="A22" s="1">
        <v>2010</v>
      </c>
      <c r="B22" s="408">
        <v>1.9259999999999999</v>
      </c>
      <c r="C22" s="408">
        <v>1.4019999999999999</v>
      </c>
      <c r="D22" s="408">
        <v>1.2370000000000001</v>
      </c>
      <c r="E22" s="408">
        <v>1.133</v>
      </c>
      <c r="F22" s="408">
        <v>1.087</v>
      </c>
      <c r="G22" s="408">
        <v>1.06</v>
      </c>
      <c r="H22" s="408">
        <v>1.0389999999999999</v>
      </c>
      <c r="I22" s="408">
        <v>1.026</v>
      </c>
      <c r="J22" s="408" t="s">
        <v>36</v>
      </c>
      <c r="K22" s="408" t="s">
        <v>36</v>
      </c>
      <c r="L22" s="408" t="s">
        <v>36</v>
      </c>
      <c r="M22" s="408" t="s">
        <v>36</v>
      </c>
      <c r="N22" s="408" t="s">
        <v>36</v>
      </c>
      <c r="O22" s="408" t="s">
        <v>36</v>
      </c>
      <c r="P22" s="408" t="s">
        <v>36</v>
      </c>
      <c r="Q22" s="408" t="s">
        <v>36</v>
      </c>
    </row>
    <row r="23" spans="1:17" ht="12" customHeight="1">
      <c r="A23" s="1">
        <v>2011</v>
      </c>
      <c r="B23" s="408">
        <v>1.9570000000000001</v>
      </c>
      <c r="C23" s="408">
        <v>1.401</v>
      </c>
      <c r="D23" s="408">
        <v>1.2170000000000001</v>
      </c>
      <c r="E23" s="408">
        <v>1.131</v>
      </c>
      <c r="F23" s="408">
        <v>1.0820000000000001</v>
      </c>
      <c r="G23" s="408">
        <v>1.0549999999999999</v>
      </c>
      <c r="H23" s="408">
        <v>1.034</v>
      </c>
      <c r="I23" s="408" t="s">
        <v>36</v>
      </c>
      <c r="J23" s="408" t="s">
        <v>36</v>
      </c>
      <c r="K23" s="408" t="s">
        <v>36</v>
      </c>
      <c r="L23" s="408" t="s">
        <v>36</v>
      </c>
      <c r="M23" s="408" t="s">
        <v>36</v>
      </c>
      <c r="N23" s="408" t="s">
        <v>36</v>
      </c>
      <c r="O23" s="408" t="s">
        <v>36</v>
      </c>
      <c r="P23" s="408" t="s">
        <v>36</v>
      </c>
      <c r="Q23" s="408" t="s">
        <v>36</v>
      </c>
    </row>
    <row r="24" spans="1:17" ht="12" customHeight="1">
      <c r="A24" s="1">
        <v>2012</v>
      </c>
      <c r="B24" s="408">
        <v>1.9830000000000001</v>
      </c>
      <c r="C24" s="408">
        <v>1.3979999999999999</v>
      </c>
      <c r="D24" s="408">
        <v>1.2130000000000001</v>
      </c>
      <c r="E24" s="408">
        <v>1.1279999999999999</v>
      </c>
      <c r="F24" s="408">
        <v>1.0760000000000001</v>
      </c>
      <c r="G24" s="408">
        <v>1.0509999999999999</v>
      </c>
      <c r="H24" s="408" t="s">
        <v>36</v>
      </c>
      <c r="I24" s="408" t="s">
        <v>36</v>
      </c>
      <c r="J24" s="408" t="s">
        <v>36</v>
      </c>
      <c r="K24" s="408" t="s">
        <v>36</v>
      </c>
      <c r="L24" s="408" t="s">
        <v>36</v>
      </c>
      <c r="M24" s="408" t="s">
        <v>36</v>
      </c>
      <c r="N24" s="408" t="s">
        <v>36</v>
      </c>
      <c r="O24" s="408" t="s">
        <v>36</v>
      </c>
      <c r="P24" s="408" t="s">
        <v>36</v>
      </c>
      <c r="Q24" s="408" t="s">
        <v>36</v>
      </c>
    </row>
    <row r="25" spans="1:17" ht="12" customHeight="1">
      <c r="A25" s="1">
        <v>2013</v>
      </c>
      <c r="B25" s="408">
        <v>1.9390000000000001</v>
      </c>
      <c r="C25" s="408">
        <v>1.39</v>
      </c>
      <c r="D25" s="408">
        <v>1.206</v>
      </c>
      <c r="E25" s="408">
        <v>1.111</v>
      </c>
      <c r="F25" s="408">
        <v>1.0680000000000001</v>
      </c>
      <c r="G25" s="408" t="s">
        <v>36</v>
      </c>
      <c r="H25" s="408" t="s">
        <v>36</v>
      </c>
      <c r="I25" s="408" t="s">
        <v>36</v>
      </c>
      <c r="J25" s="408" t="s">
        <v>36</v>
      </c>
      <c r="K25" s="408" t="s">
        <v>36</v>
      </c>
      <c r="L25" s="408" t="s">
        <v>36</v>
      </c>
      <c r="M25" s="408" t="s">
        <v>36</v>
      </c>
      <c r="N25" s="408" t="s">
        <v>36</v>
      </c>
      <c r="O25" s="408" t="s">
        <v>36</v>
      </c>
      <c r="P25" s="408" t="s">
        <v>36</v>
      </c>
      <c r="Q25" s="408" t="s">
        <v>36</v>
      </c>
    </row>
    <row r="26" spans="1:17" ht="12" customHeight="1">
      <c r="A26" s="1">
        <v>2014</v>
      </c>
      <c r="B26" s="408">
        <v>1.9359999999999999</v>
      </c>
      <c r="C26" s="408">
        <v>1.387</v>
      </c>
      <c r="D26" s="408">
        <v>1.194</v>
      </c>
      <c r="E26" s="408">
        <v>1.105</v>
      </c>
      <c r="F26" s="408" t="s">
        <v>36</v>
      </c>
      <c r="G26" s="408" t="s">
        <v>36</v>
      </c>
      <c r="H26" s="408" t="s">
        <v>36</v>
      </c>
      <c r="I26" s="408" t="s">
        <v>36</v>
      </c>
      <c r="J26" s="408" t="s">
        <v>36</v>
      </c>
      <c r="K26" s="408" t="s">
        <v>36</v>
      </c>
      <c r="L26" s="408" t="s">
        <v>36</v>
      </c>
      <c r="M26" s="408" t="s">
        <v>36</v>
      </c>
      <c r="N26" s="408" t="s">
        <v>36</v>
      </c>
      <c r="O26" s="408" t="s">
        <v>36</v>
      </c>
      <c r="P26" s="408" t="s">
        <v>36</v>
      </c>
      <c r="Q26" s="408" t="s">
        <v>36</v>
      </c>
    </row>
    <row r="27" spans="1:17" ht="12" customHeight="1">
      <c r="A27" s="1">
        <v>2015</v>
      </c>
      <c r="B27" s="408">
        <v>1.9550000000000001</v>
      </c>
      <c r="C27" s="408">
        <v>1.359</v>
      </c>
      <c r="D27" s="408">
        <v>1.1850000000000001</v>
      </c>
      <c r="E27" s="408" t="s">
        <v>36</v>
      </c>
      <c r="F27" s="408" t="s">
        <v>36</v>
      </c>
      <c r="G27" s="408" t="s">
        <v>36</v>
      </c>
      <c r="H27" s="408" t="s">
        <v>36</v>
      </c>
      <c r="I27" s="408" t="s">
        <v>36</v>
      </c>
      <c r="J27" s="408" t="s">
        <v>36</v>
      </c>
      <c r="K27" s="408" t="s">
        <v>36</v>
      </c>
      <c r="L27" s="408" t="s">
        <v>36</v>
      </c>
      <c r="M27" s="408" t="s">
        <v>36</v>
      </c>
      <c r="N27" s="408" t="s">
        <v>36</v>
      </c>
      <c r="O27" s="408" t="s">
        <v>36</v>
      </c>
      <c r="P27" s="408" t="s">
        <v>36</v>
      </c>
      <c r="Q27" s="408" t="s">
        <v>36</v>
      </c>
    </row>
    <row r="28" spans="1:17" ht="12" customHeight="1">
      <c r="A28" s="1">
        <v>2016</v>
      </c>
      <c r="B28" s="408">
        <v>1.8759999999999999</v>
      </c>
      <c r="C28" s="408">
        <v>1.34</v>
      </c>
      <c r="D28" s="408" t="s">
        <v>36</v>
      </c>
      <c r="E28" s="408" t="s">
        <v>36</v>
      </c>
      <c r="F28" s="408" t="s">
        <v>36</v>
      </c>
      <c r="G28" s="408" t="s">
        <v>36</v>
      </c>
      <c r="H28" s="408" t="s">
        <v>36</v>
      </c>
      <c r="I28" s="408" t="s">
        <v>36</v>
      </c>
      <c r="J28" s="408" t="s">
        <v>36</v>
      </c>
      <c r="K28" s="408" t="s">
        <v>36</v>
      </c>
      <c r="L28" s="408" t="s">
        <v>36</v>
      </c>
      <c r="M28" s="408" t="s">
        <v>36</v>
      </c>
      <c r="N28" s="408" t="s">
        <v>36</v>
      </c>
      <c r="O28" s="408" t="s">
        <v>36</v>
      </c>
      <c r="P28" s="408" t="s">
        <v>36</v>
      </c>
      <c r="Q28" s="408" t="s">
        <v>36</v>
      </c>
    </row>
    <row r="29" spans="1:17" ht="12" customHeight="1">
      <c r="A29" s="1">
        <v>2017</v>
      </c>
      <c r="B29" s="408">
        <v>1.8380000000000001</v>
      </c>
      <c r="C29" s="408" t="s">
        <v>36</v>
      </c>
      <c r="D29" s="408" t="s">
        <v>36</v>
      </c>
      <c r="E29" s="408" t="s">
        <v>36</v>
      </c>
      <c r="F29" s="408" t="s">
        <v>36</v>
      </c>
      <c r="G29" s="408" t="s">
        <v>36</v>
      </c>
      <c r="H29" s="408" t="s">
        <v>36</v>
      </c>
      <c r="I29" s="408" t="s">
        <v>36</v>
      </c>
      <c r="J29" s="408" t="s">
        <v>36</v>
      </c>
      <c r="K29" s="408" t="s">
        <v>36</v>
      </c>
      <c r="L29" s="408" t="s">
        <v>36</v>
      </c>
      <c r="M29" s="408" t="s">
        <v>36</v>
      </c>
      <c r="N29" s="408" t="s">
        <v>36</v>
      </c>
      <c r="O29" s="408" t="s">
        <v>36</v>
      </c>
      <c r="P29" s="408" t="s">
        <v>36</v>
      </c>
      <c r="Q29" s="409"/>
    </row>
    <row r="30" spans="1:17" ht="12" customHeight="1">
      <c r="A30" s="24"/>
      <c r="B30" s="24"/>
      <c r="C30" s="24"/>
      <c r="D30" s="24"/>
      <c r="E30" s="24"/>
      <c r="F30" s="24"/>
      <c r="G30" s="24"/>
      <c r="H30" s="24"/>
      <c r="I30" s="24"/>
      <c r="J30" s="24"/>
      <c r="K30" s="24"/>
      <c r="L30" s="24"/>
      <c r="M30" s="24"/>
      <c r="N30" s="24"/>
      <c r="O30" s="24"/>
      <c r="P30" s="24"/>
    </row>
    <row r="31" spans="1:17" ht="12" customHeight="1">
      <c r="A31" s="1" t="s">
        <v>68</v>
      </c>
      <c r="B31" s="538" t="s">
        <v>18</v>
      </c>
      <c r="C31" s="538"/>
      <c r="D31" s="538"/>
      <c r="E31" s="538"/>
      <c r="F31" s="538"/>
      <c r="G31" s="538"/>
      <c r="H31" s="538"/>
      <c r="I31" s="538"/>
      <c r="J31" s="538"/>
      <c r="K31" s="538"/>
      <c r="L31" s="538"/>
      <c r="M31" s="538"/>
      <c r="N31" s="538"/>
      <c r="O31" s="538"/>
      <c r="P31" s="538"/>
      <c r="Q31" s="538"/>
    </row>
    <row r="32" spans="1:17" ht="12" customHeight="1">
      <c r="A32" s="11" t="s">
        <v>19</v>
      </c>
      <c r="B32" s="407" t="s">
        <v>435</v>
      </c>
      <c r="C32" s="407" t="s">
        <v>436</v>
      </c>
      <c r="D32" s="407" t="s">
        <v>437</v>
      </c>
      <c r="E32" s="407" t="s">
        <v>438</v>
      </c>
      <c r="F32" s="407" t="s">
        <v>439</v>
      </c>
      <c r="G32" s="407" t="s">
        <v>440</v>
      </c>
      <c r="H32" s="407" t="s">
        <v>441</v>
      </c>
      <c r="I32" s="407" t="s">
        <v>442</v>
      </c>
      <c r="J32" s="407" t="s">
        <v>443</v>
      </c>
      <c r="K32" s="407" t="s">
        <v>444</v>
      </c>
      <c r="L32" s="407" t="s">
        <v>445</v>
      </c>
      <c r="M32" s="407" t="s">
        <v>446</v>
      </c>
      <c r="N32" s="407" t="s">
        <v>447</v>
      </c>
      <c r="O32" s="407" t="s">
        <v>448</v>
      </c>
      <c r="P32" s="407" t="s">
        <v>449</v>
      </c>
      <c r="Q32" s="407" t="s">
        <v>450</v>
      </c>
    </row>
    <row r="33" spans="1:17" ht="12" customHeight="1">
      <c r="A33" s="12">
        <v>2000</v>
      </c>
      <c r="B33" s="407"/>
      <c r="C33" s="407"/>
      <c r="D33" s="407"/>
      <c r="E33" s="407"/>
      <c r="F33" s="407"/>
      <c r="G33" s="407"/>
      <c r="H33" s="407"/>
      <c r="I33" s="407"/>
      <c r="J33" s="407"/>
      <c r="K33" s="407"/>
      <c r="L33" s="407"/>
      <c r="M33" s="407"/>
      <c r="N33" s="407"/>
      <c r="O33" s="407"/>
      <c r="P33" s="407"/>
      <c r="Q33" s="408">
        <v>1.0109999999999999</v>
      </c>
    </row>
    <row r="34" spans="1:17" ht="12" customHeight="1">
      <c r="A34" s="12">
        <v>2001</v>
      </c>
      <c r="B34" s="408"/>
      <c r="C34" s="408"/>
      <c r="D34" s="408"/>
      <c r="E34" s="408"/>
      <c r="F34" s="408"/>
      <c r="G34" s="408"/>
      <c r="H34" s="408"/>
      <c r="I34" s="408"/>
      <c r="J34" s="408"/>
      <c r="K34" s="408"/>
      <c r="L34" s="408"/>
      <c r="M34" s="408"/>
      <c r="N34" s="408"/>
      <c r="O34" s="408"/>
      <c r="P34" s="408">
        <v>1.0129999999999999</v>
      </c>
      <c r="Q34" s="408">
        <v>1.0109999999999999</v>
      </c>
    </row>
    <row r="35" spans="1:17" ht="12" customHeight="1">
      <c r="A35" s="12">
        <v>2002</v>
      </c>
      <c r="B35" s="408"/>
      <c r="C35" s="408"/>
      <c r="D35" s="408"/>
      <c r="E35" s="408"/>
      <c r="F35" s="408"/>
      <c r="G35" s="408"/>
      <c r="H35" s="408"/>
      <c r="I35" s="408"/>
      <c r="J35" s="408"/>
      <c r="K35" s="408"/>
      <c r="L35" s="408"/>
      <c r="M35" s="408"/>
      <c r="N35" s="408"/>
      <c r="O35" s="408">
        <v>1.012</v>
      </c>
      <c r="P35" s="408">
        <v>1.012</v>
      </c>
      <c r="Q35" s="408">
        <v>1.01</v>
      </c>
    </row>
    <row r="36" spans="1:17" ht="12" customHeight="1">
      <c r="A36" s="12">
        <v>2003</v>
      </c>
      <c r="B36" s="408"/>
      <c r="C36" s="408"/>
      <c r="D36" s="408"/>
      <c r="E36" s="408"/>
      <c r="F36" s="408"/>
      <c r="G36" s="408"/>
      <c r="H36" s="408"/>
      <c r="I36" s="408"/>
      <c r="J36" s="408"/>
      <c r="K36" s="408"/>
      <c r="L36" s="408"/>
      <c r="M36" s="408"/>
      <c r="N36" s="408">
        <v>1.016</v>
      </c>
      <c r="O36" s="408">
        <v>1.0129999999999999</v>
      </c>
      <c r="P36" s="408">
        <v>1.012</v>
      </c>
      <c r="Q36" s="408" t="s">
        <v>36</v>
      </c>
    </row>
    <row r="37" spans="1:17" ht="12" customHeight="1">
      <c r="A37" s="12">
        <v>2004</v>
      </c>
      <c r="B37" s="408"/>
      <c r="C37" s="408"/>
      <c r="D37" s="408"/>
      <c r="E37" s="408"/>
      <c r="F37" s="408"/>
      <c r="G37" s="408"/>
      <c r="H37" s="408"/>
      <c r="I37" s="408"/>
      <c r="J37" s="408"/>
      <c r="K37" s="408"/>
      <c r="L37" s="408"/>
      <c r="M37" s="408">
        <v>1.018</v>
      </c>
      <c r="N37" s="408">
        <v>1.0149999999999999</v>
      </c>
      <c r="O37" s="408">
        <v>1.0129999999999999</v>
      </c>
      <c r="P37" s="408" t="s">
        <v>36</v>
      </c>
      <c r="Q37" s="409"/>
    </row>
    <row r="38" spans="1:17" ht="12" customHeight="1">
      <c r="A38" s="12">
        <v>2005</v>
      </c>
      <c r="B38" s="408"/>
      <c r="C38" s="408"/>
      <c r="D38" s="408"/>
      <c r="E38" s="408"/>
      <c r="F38" s="408"/>
      <c r="G38" s="408"/>
      <c r="H38" s="408"/>
      <c r="I38" s="408"/>
      <c r="J38" s="408"/>
      <c r="K38" s="408"/>
      <c r="L38" s="408">
        <v>1.0209999999999999</v>
      </c>
      <c r="M38" s="408">
        <v>1.0189999999999999</v>
      </c>
      <c r="N38" s="408">
        <v>1.0149999999999999</v>
      </c>
      <c r="O38" s="408" t="s">
        <v>36</v>
      </c>
      <c r="P38" s="408" t="s">
        <v>36</v>
      </c>
      <c r="Q38" s="409"/>
    </row>
    <row r="39" spans="1:17" ht="12" customHeight="1">
      <c r="A39" s="12">
        <v>2006</v>
      </c>
      <c r="B39" s="408"/>
      <c r="C39" s="408"/>
      <c r="D39" s="408"/>
      <c r="E39" s="408"/>
      <c r="F39" s="408"/>
      <c r="G39" s="408"/>
      <c r="H39" s="408"/>
      <c r="I39" s="408"/>
      <c r="J39" s="408"/>
      <c r="K39" s="408">
        <v>1.024</v>
      </c>
      <c r="L39" s="408">
        <v>1.02</v>
      </c>
      <c r="M39" s="408">
        <v>1.016</v>
      </c>
      <c r="N39" s="408" t="s">
        <v>36</v>
      </c>
      <c r="O39" s="408" t="s">
        <v>36</v>
      </c>
      <c r="P39" s="408" t="s">
        <v>36</v>
      </c>
      <c r="Q39" s="409"/>
    </row>
    <row r="40" spans="1:17" ht="12" customHeight="1">
      <c r="A40" s="12">
        <v>2007</v>
      </c>
      <c r="B40" s="408"/>
      <c r="C40" s="408"/>
      <c r="D40" s="408"/>
      <c r="E40" s="408"/>
      <c r="F40" s="408"/>
      <c r="G40" s="408"/>
      <c r="H40" s="408"/>
      <c r="I40" s="408"/>
      <c r="J40" s="408">
        <v>1.03</v>
      </c>
      <c r="K40" s="408">
        <v>1.022</v>
      </c>
      <c r="L40" s="408">
        <v>1.0209999999999999</v>
      </c>
      <c r="M40" s="408" t="s">
        <v>36</v>
      </c>
      <c r="N40" s="408" t="s">
        <v>36</v>
      </c>
      <c r="O40" s="408" t="s">
        <v>36</v>
      </c>
      <c r="P40" s="408" t="s">
        <v>36</v>
      </c>
      <c r="Q40" s="409"/>
    </row>
    <row r="41" spans="1:17" ht="12" customHeight="1">
      <c r="A41" s="12">
        <v>2008</v>
      </c>
      <c r="B41" s="408"/>
      <c r="C41" s="408"/>
      <c r="D41" s="408"/>
      <c r="E41" s="408"/>
      <c r="F41" s="408"/>
      <c r="G41" s="408"/>
      <c r="H41" s="408"/>
      <c r="I41" s="408">
        <v>1.034</v>
      </c>
      <c r="J41" s="408">
        <v>1.026</v>
      </c>
      <c r="K41" s="408">
        <v>1.0209999999999999</v>
      </c>
      <c r="L41" s="408" t="s">
        <v>36</v>
      </c>
      <c r="M41" s="408" t="s">
        <v>36</v>
      </c>
      <c r="N41" s="408" t="s">
        <v>36</v>
      </c>
      <c r="O41" s="408" t="s">
        <v>36</v>
      </c>
      <c r="P41" s="408" t="s">
        <v>36</v>
      </c>
      <c r="Q41" s="409"/>
    </row>
    <row r="42" spans="1:17" ht="12" customHeight="1">
      <c r="A42" s="12">
        <v>2009</v>
      </c>
      <c r="B42" s="408"/>
      <c r="C42" s="408"/>
      <c r="D42" s="408"/>
      <c r="E42" s="408"/>
      <c r="F42" s="408"/>
      <c r="G42" s="408"/>
      <c r="H42" s="408">
        <v>1.044</v>
      </c>
      <c r="I42" s="408">
        <v>1.0309999999999999</v>
      </c>
      <c r="J42" s="408">
        <v>1.0249999999999999</v>
      </c>
      <c r="K42" s="408" t="s">
        <v>36</v>
      </c>
      <c r="L42" s="408" t="s">
        <v>36</v>
      </c>
      <c r="M42" s="408" t="s">
        <v>36</v>
      </c>
      <c r="N42" s="408" t="s">
        <v>36</v>
      </c>
      <c r="O42" s="408" t="s">
        <v>36</v>
      </c>
      <c r="P42" s="408" t="s">
        <v>36</v>
      </c>
      <c r="Q42" s="409"/>
    </row>
    <row r="43" spans="1:17" ht="12" customHeight="1">
      <c r="A43" s="12">
        <v>2010</v>
      </c>
      <c r="B43" s="408"/>
      <c r="C43" s="408"/>
      <c r="D43" s="408"/>
      <c r="E43" s="408"/>
      <c r="F43" s="408"/>
      <c r="G43" s="408">
        <v>1.0620000000000001</v>
      </c>
      <c r="H43" s="408">
        <v>1.0409999999999999</v>
      </c>
      <c r="I43" s="408">
        <v>1.028</v>
      </c>
      <c r="J43" s="408" t="s">
        <v>36</v>
      </c>
      <c r="K43" s="408" t="s">
        <v>36</v>
      </c>
      <c r="L43" s="408" t="s">
        <v>36</v>
      </c>
      <c r="M43" s="408" t="s">
        <v>36</v>
      </c>
      <c r="N43" s="408" t="s">
        <v>36</v>
      </c>
      <c r="O43" s="408" t="s">
        <v>36</v>
      </c>
      <c r="P43" s="408" t="s">
        <v>36</v>
      </c>
      <c r="Q43" s="409"/>
    </row>
    <row r="44" spans="1:17" ht="12" customHeight="1">
      <c r="A44" s="12">
        <v>2011</v>
      </c>
      <c r="B44" s="408"/>
      <c r="C44" s="408"/>
      <c r="D44" s="408"/>
      <c r="E44" s="408"/>
      <c r="F44" s="408">
        <v>1.085</v>
      </c>
      <c r="G44" s="408">
        <v>1.0589999999999999</v>
      </c>
      <c r="H44" s="408">
        <v>1.038</v>
      </c>
      <c r="I44" s="408" t="s">
        <v>36</v>
      </c>
      <c r="J44" s="408" t="s">
        <v>36</v>
      </c>
      <c r="K44" s="408" t="s">
        <v>36</v>
      </c>
      <c r="L44" s="408" t="s">
        <v>36</v>
      </c>
      <c r="M44" s="408" t="s">
        <v>36</v>
      </c>
      <c r="N44" s="408" t="s">
        <v>36</v>
      </c>
      <c r="O44" s="408" t="s">
        <v>36</v>
      </c>
      <c r="P44" s="408" t="s">
        <v>36</v>
      </c>
      <c r="Q44" s="409"/>
    </row>
    <row r="45" spans="1:17" ht="12" customHeight="1">
      <c r="A45" s="12">
        <v>2012</v>
      </c>
      <c r="B45" s="408"/>
      <c r="C45" s="408"/>
      <c r="D45" s="408"/>
      <c r="E45" s="408">
        <v>1.133</v>
      </c>
      <c r="F45" s="408">
        <v>1.0820000000000001</v>
      </c>
      <c r="G45" s="408">
        <v>1.056</v>
      </c>
      <c r="H45" s="408" t="s">
        <v>36</v>
      </c>
      <c r="I45" s="408" t="s">
        <v>36</v>
      </c>
      <c r="J45" s="408" t="s">
        <v>36</v>
      </c>
      <c r="K45" s="408" t="s">
        <v>36</v>
      </c>
      <c r="L45" s="408" t="s">
        <v>36</v>
      </c>
      <c r="M45" s="408" t="s">
        <v>36</v>
      </c>
      <c r="N45" s="408" t="s">
        <v>36</v>
      </c>
      <c r="O45" s="408" t="s">
        <v>36</v>
      </c>
      <c r="P45" s="408" t="s">
        <v>36</v>
      </c>
      <c r="Q45" s="409"/>
    </row>
    <row r="46" spans="1:17" ht="12" customHeight="1">
      <c r="A46" s="12">
        <v>2013</v>
      </c>
      <c r="B46" s="408"/>
      <c r="C46" s="408"/>
      <c r="D46" s="408">
        <v>1.2130000000000001</v>
      </c>
      <c r="E46" s="408">
        <v>1.119</v>
      </c>
      <c r="F46" s="408">
        <v>1.0740000000000001</v>
      </c>
      <c r="G46" s="408" t="s">
        <v>36</v>
      </c>
      <c r="H46" s="408" t="s">
        <v>36</v>
      </c>
      <c r="I46" s="408" t="s">
        <v>36</v>
      </c>
      <c r="J46" s="408" t="s">
        <v>36</v>
      </c>
      <c r="K46" s="408" t="s">
        <v>36</v>
      </c>
      <c r="L46" s="408" t="s">
        <v>36</v>
      </c>
      <c r="M46" s="408" t="s">
        <v>36</v>
      </c>
      <c r="N46" s="408" t="s">
        <v>36</v>
      </c>
      <c r="O46" s="408" t="s">
        <v>36</v>
      </c>
      <c r="P46" s="408" t="s">
        <v>36</v>
      </c>
      <c r="Q46" s="409"/>
    </row>
    <row r="47" spans="1:17" ht="12" customHeight="1">
      <c r="A47" s="12">
        <v>2014</v>
      </c>
      <c r="B47" s="408"/>
      <c r="C47" s="408">
        <v>1.3919999999999999</v>
      </c>
      <c r="D47" s="408">
        <v>1.2030000000000001</v>
      </c>
      <c r="E47" s="408">
        <v>1.1120000000000001</v>
      </c>
      <c r="F47" s="408" t="s">
        <v>36</v>
      </c>
      <c r="G47" s="408" t="s">
        <v>36</v>
      </c>
      <c r="H47" s="408" t="s">
        <v>36</v>
      </c>
      <c r="I47" s="408" t="s">
        <v>36</v>
      </c>
      <c r="J47" s="408" t="s">
        <v>36</v>
      </c>
      <c r="K47" s="408" t="s">
        <v>36</v>
      </c>
      <c r="L47" s="408" t="s">
        <v>36</v>
      </c>
      <c r="M47" s="408" t="s">
        <v>36</v>
      </c>
      <c r="N47" s="408" t="s">
        <v>36</v>
      </c>
      <c r="O47" s="408" t="s">
        <v>36</v>
      </c>
      <c r="P47" s="408" t="s">
        <v>36</v>
      </c>
      <c r="Q47" s="409"/>
    </row>
    <row r="48" spans="1:17" ht="12" customHeight="1">
      <c r="A48" s="12">
        <v>2015</v>
      </c>
      <c r="B48" s="408">
        <v>1.9590000000000001</v>
      </c>
      <c r="C48" s="408">
        <v>1.365</v>
      </c>
      <c r="D48" s="408">
        <v>1.19</v>
      </c>
      <c r="E48" s="408" t="s">
        <v>36</v>
      </c>
      <c r="F48" s="408" t="s">
        <v>36</v>
      </c>
      <c r="G48" s="408" t="s">
        <v>36</v>
      </c>
      <c r="H48" s="408" t="s">
        <v>36</v>
      </c>
      <c r="I48" s="408" t="s">
        <v>36</v>
      </c>
      <c r="J48" s="408" t="s">
        <v>36</v>
      </c>
      <c r="K48" s="408" t="s">
        <v>36</v>
      </c>
      <c r="L48" s="408" t="s">
        <v>36</v>
      </c>
      <c r="M48" s="408" t="s">
        <v>36</v>
      </c>
      <c r="N48" s="408" t="s">
        <v>36</v>
      </c>
      <c r="O48" s="408" t="s">
        <v>36</v>
      </c>
      <c r="P48" s="408" t="s">
        <v>36</v>
      </c>
      <c r="Q48" s="409"/>
    </row>
    <row r="49" spans="1:17" ht="12" customHeight="1">
      <c r="A49" s="12">
        <v>2016</v>
      </c>
      <c r="B49" s="408">
        <v>1.8819999999999999</v>
      </c>
      <c r="C49" s="408">
        <v>1.3440000000000001</v>
      </c>
      <c r="D49" s="408" t="s">
        <v>36</v>
      </c>
      <c r="E49" s="408" t="s">
        <v>36</v>
      </c>
      <c r="F49" s="408" t="s">
        <v>36</v>
      </c>
      <c r="G49" s="408" t="s">
        <v>36</v>
      </c>
      <c r="H49" s="408" t="s">
        <v>36</v>
      </c>
      <c r="I49" s="408" t="s">
        <v>36</v>
      </c>
      <c r="J49" s="408" t="s">
        <v>36</v>
      </c>
      <c r="K49" s="408" t="s">
        <v>36</v>
      </c>
      <c r="L49" s="408" t="s">
        <v>36</v>
      </c>
      <c r="M49" s="408" t="s">
        <v>36</v>
      </c>
      <c r="N49" s="408" t="s">
        <v>36</v>
      </c>
      <c r="O49" s="408" t="s">
        <v>36</v>
      </c>
      <c r="P49" s="408" t="s">
        <v>36</v>
      </c>
      <c r="Q49" s="409"/>
    </row>
    <row r="50" spans="1:17" ht="12" customHeight="1">
      <c r="A50" s="12">
        <v>2017</v>
      </c>
      <c r="B50" s="408">
        <v>1.8440000000000001</v>
      </c>
      <c r="C50" s="408" t="s">
        <v>36</v>
      </c>
      <c r="D50" s="408" t="s">
        <v>36</v>
      </c>
      <c r="E50" s="408" t="s">
        <v>36</v>
      </c>
      <c r="F50" s="408" t="s">
        <v>36</v>
      </c>
      <c r="G50" s="408" t="s">
        <v>36</v>
      </c>
      <c r="H50" s="408" t="s">
        <v>36</v>
      </c>
      <c r="I50" s="408" t="s">
        <v>36</v>
      </c>
      <c r="J50" s="408" t="s">
        <v>36</v>
      </c>
      <c r="K50" s="408" t="s">
        <v>36</v>
      </c>
      <c r="L50" s="408" t="s">
        <v>36</v>
      </c>
      <c r="M50" s="408" t="s">
        <v>36</v>
      </c>
      <c r="N50" s="408" t="s">
        <v>36</v>
      </c>
      <c r="O50" s="408" t="s">
        <v>36</v>
      </c>
      <c r="P50" s="408" t="s">
        <v>36</v>
      </c>
      <c r="Q50" s="409"/>
    </row>
    <row r="51" spans="1:17">
      <c r="A51" s="12"/>
      <c r="B51" s="413"/>
      <c r="C51" s="408"/>
      <c r="D51" s="408"/>
      <c r="E51" s="408"/>
      <c r="F51" s="408"/>
      <c r="G51" s="408"/>
      <c r="H51" s="408"/>
      <c r="I51" s="410"/>
      <c r="J51" s="410"/>
      <c r="K51" s="410"/>
      <c r="L51" s="410"/>
      <c r="M51" s="410"/>
      <c r="N51" s="410"/>
      <c r="O51" s="410"/>
      <c r="P51" s="410"/>
      <c r="Q51" s="409"/>
    </row>
    <row r="52" spans="1:17">
      <c r="A52" s="12" t="s">
        <v>38</v>
      </c>
      <c r="B52" s="13">
        <f>+ROUND(B50,3)</f>
        <v>1.8440000000000001</v>
      </c>
      <c r="C52" s="13">
        <f>+ROUND(C49,3)</f>
        <v>1.3440000000000001</v>
      </c>
      <c r="D52" s="13">
        <f>ROUND(D48,3)</f>
        <v>1.19</v>
      </c>
      <c r="E52" s="13">
        <f>ROUND(E47,3)</f>
        <v>1.1120000000000001</v>
      </c>
      <c r="F52" s="13">
        <f>ROUND(F46,3)</f>
        <v>1.0740000000000001</v>
      </c>
      <c r="G52" s="13">
        <f>ROUND(G45,3)</f>
        <v>1.056</v>
      </c>
      <c r="H52" s="13">
        <f>ROUND(H44,3)</f>
        <v>1.038</v>
      </c>
      <c r="I52" s="13">
        <f>ROUND(I43,3)</f>
        <v>1.028</v>
      </c>
      <c r="J52" s="13">
        <f>AVERAGE(J40:J42)</f>
        <v>1.0269999999999999</v>
      </c>
      <c r="K52" s="13">
        <f>AVERAGE(K39:K41)</f>
        <v>1.0223333333333333</v>
      </c>
      <c r="L52" s="13">
        <f>AVERAGE(L38:L40)</f>
        <v>1.0206666666666666</v>
      </c>
      <c r="M52" s="13">
        <f>AVERAGE(M37:M39)</f>
        <v>1.0176666666666667</v>
      </c>
      <c r="N52" s="13">
        <f>AVERAGE(N36:N38)</f>
        <v>1.0153333333333332</v>
      </c>
      <c r="O52" s="13">
        <f>AVERAGE(O35:O37)</f>
        <v>1.0126666666666666</v>
      </c>
      <c r="P52" s="13">
        <f>AVERAGE(P34:P36)</f>
        <v>1.0123333333333333</v>
      </c>
      <c r="Q52" s="13">
        <f>AVERAGE(Q33:Q35)</f>
        <v>1.0106666666666666</v>
      </c>
    </row>
    <row r="53" spans="1:17">
      <c r="A53" s="12"/>
      <c r="B53" s="13"/>
      <c r="C53" s="13"/>
      <c r="D53" s="13"/>
      <c r="E53" s="13"/>
      <c r="F53" s="13"/>
      <c r="G53" s="13"/>
      <c r="H53" s="13"/>
      <c r="I53" s="13"/>
      <c r="J53" s="13"/>
      <c r="K53" s="13"/>
      <c r="L53" s="13"/>
      <c r="M53" s="13"/>
      <c r="N53" s="13"/>
      <c r="O53" s="13"/>
      <c r="P53" s="13"/>
      <c r="Q53" s="13"/>
    </row>
    <row r="54" spans="1:17">
      <c r="A54" s="14" t="s">
        <v>268</v>
      </c>
      <c r="B54" s="13"/>
      <c r="C54" s="13"/>
      <c r="D54" s="13"/>
      <c r="E54" s="13"/>
      <c r="F54" s="13"/>
      <c r="G54" s="13"/>
      <c r="H54" s="13"/>
      <c r="I54" s="13"/>
      <c r="J54" s="13"/>
      <c r="K54" s="13"/>
      <c r="L54" s="13"/>
      <c r="M54" s="13"/>
      <c r="N54" s="13"/>
      <c r="O54" s="13"/>
      <c r="P54" s="13"/>
      <c r="Q54" s="13"/>
    </row>
    <row r="55" spans="1:17">
      <c r="A55" s="166" t="s">
        <v>375</v>
      </c>
      <c r="B55" s="13">
        <f t="shared" ref="B55:O55" si="0">B52*C55</f>
        <v>5.3178344169528078</v>
      </c>
      <c r="C55" s="13">
        <f t="shared" si="0"/>
        <v>2.8838581436837352</v>
      </c>
      <c r="D55" s="13">
        <f t="shared" si="0"/>
        <v>2.1457277854789694</v>
      </c>
      <c r="E55" s="13">
        <f t="shared" si="0"/>
        <v>1.8031325928394701</v>
      </c>
      <c r="F55" s="13">
        <f t="shared" si="0"/>
        <v>1.6215221158628328</v>
      </c>
      <c r="G55" s="13">
        <f t="shared" si="0"/>
        <v>1.5097971283639038</v>
      </c>
      <c r="H55" s="13">
        <f t="shared" si="0"/>
        <v>1.4297321291324845</v>
      </c>
      <c r="I55" s="13">
        <f t="shared" si="0"/>
        <v>1.3773912612066324</v>
      </c>
      <c r="J55" s="13">
        <f t="shared" si="0"/>
        <v>1.3398747677107319</v>
      </c>
      <c r="K55" s="13">
        <f t="shared" si="0"/>
        <v>1.3046492382772463</v>
      </c>
      <c r="L55" s="13">
        <f t="shared" si="0"/>
        <v>1.2761485865118158</v>
      </c>
      <c r="M55" s="13">
        <f t="shared" si="0"/>
        <v>1.2503088698678797</v>
      </c>
      <c r="N55" s="13">
        <f t="shared" si="0"/>
        <v>1.2286035406497344</v>
      </c>
      <c r="O55" s="13">
        <f t="shared" si="0"/>
        <v>1.2100494490969151</v>
      </c>
      <c r="P55" s="13">
        <f>P52*Q55</f>
        <v>1.1949138733675924</v>
      </c>
      <c r="Q55" s="13">
        <f>Q52*'Exhibit 2.4.2'!B48</f>
        <v>1.1803561475478357</v>
      </c>
    </row>
    <row r="56" spans="1:17">
      <c r="A56" s="166"/>
      <c r="B56" s="13"/>
      <c r="C56" s="13"/>
      <c r="D56" s="13"/>
      <c r="E56" s="13"/>
      <c r="F56" s="13"/>
      <c r="G56" s="13"/>
      <c r="H56" s="13"/>
      <c r="I56" s="13"/>
      <c r="J56" s="13"/>
      <c r="K56" s="13"/>
      <c r="L56" s="13"/>
      <c r="M56" s="13"/>
      <c r="N56" s="13"/>
      <c r="O56" s="13"/>
      <c r="P56" s="13"/>
      <c r="Q56" s="13"/>
    </row>
    <row r="57" spans="1:17">
      <c r="A57" s="14" t="s">
        <v>378</v>
      </c>
      <c r="B57" s="13"/>
      <c r="C57" s="13"/>
      <c r="D57" s="13"/>
      <c r="E57" s="13"/>
      <c r="F57" s="13"/>
      <c r="G57" s="13"/>
      <c r="H57" s="13"/>
      <c r="I57" s="13"/>
      <c r="J57" s="13"/>
      <c r="K57" s="13"/>
      <c r="L57" s="13"/>
      <c r="M57" s="13"/>
      <c r="N57" s="13"/>
      <c r="O57" s="13"/>
      <c r="P57" s="13"/>
      <c r="Q57" s="13"/>
    </row>
    <row r="58" spans="1:17">
      <c r="A58" s="166" t="s">
        <v>379</v>
      </c>
      <c r="B58" s="13">
        <f>B52*C55*C69</f>
        <v>5.062578364939073</v>
      </c>
      <c r="C58" s="13">
        <f>C52*D55*C70</f>
        <v>2.7454329527869157</v>
      </c>
      <c r="D58" s="13">
        <f>D52*E55*C71</f>
        <v>2.0663358574162474</v>
      </c>
      <c r="E58" s="13">
        <f>E52*F55*C72</f>
        <v>1.7580542780184834</v>
      </c>
      <c r="F58" s="13">
        <f>F52*G55*C73</f>
        <v>1.5971992841248903</v>
      </c>
      <c r="G58" s="13">
        <f>G52*H55*C74</f>
        <v>1.4992285484653565</v>
      </c>
      <c r="H58" s="22" t="s">
        <v>34</v>
      </c>
      <c r="I58" s="22" t="s">
        <v>34</v>
      </c>
      <c r="J58" s="22" t="s">
        <v>34</v>
      </c>
      <c r="K58" s="22" t="s">
        <v>34</v>
      </c>
      <c r="L58" s="22" t="s">
        <v>34</v>
      </c>
      <c r="M58" s="22" t="s">
        <v>34</v>
      </c>
      <c r="N58" s="22" t="s">
        <v>34</v>
      </c>
      <c r="O58" s="22" t="s">
        <v>34</v>
      </c>
      <c r="P58" s="22" t="s">
        <v>34</v>
      </c>
      <c r="Q58" s="22" t="s">
        <v>34</v>
      </c>
    </row>
    <row r="59" spans="1:17">
      <c r="A59" s="14"/>
      <c r="B59" s="14"/>
      <c r="C59" s="13"/>
      <c r="D59" s="13"/>
      <c r="E59" s="13"/>
      <c r="F59" s="13"/>
      <c r="G59" s="13"/>
      <c r="H59" s="13"/>
      <c r="I59" s="13"/>
      <c r="J59" s="13"/>
      <c r="K59" s="13"/>
      <c r="L59" s="13"/>
      <c r="M59" s="13"/>
      <c r="N59" s="13"/>
      <c r="O59" s="13"/>
      <c r="P59" s="13"/>
    </row>
    <row r="60" spans="1:17" ht="15">
      <c r="A60" s="9" t="s">
        <v>39</v>
      </c>
      <c r="B60" s="534" t="s">
        <v>341</v>
      </c>
      <c r="C60" s="535"/>
      <c r="D60" s="535"/>
      <c r="E60" s="535"/>
      <c r="F60" s="535"/>
      <c r="G60" s="535"/>
      <c r="H60" s="535"/>
      <c r="I60" s="535"/>
      <c r="J60" s="535"/>
      <c r="K60" s="535"/>
      <c r="L60" s="535"/>
      <c r="M60" s="535"/>
      <c r="N60" s="535"/>
      <c r="O60" s="535"/>
      <c r="P60" s="535"/>
    </row>
    <row r="61" spans="1:17" ht="29.45" customHeight="1">
      <c r="A61" s="9" t="s">
        <v>25</v>
      </c>
      <c r="B61" s="536" t="s">
        <v>411</v>
      </c>
      <c r="C61" s="537"/>
      <c r="D61" s="537"/>
      <c r="E61" s="537"/>
      <c r="F61" s="537"/>
      <c r="G61" s="537"/>
      <c r="H61" s="537"/>
      <c r="I61" s="537"/>
      <c r="J61" s="537"/>
      <c r="K61" s="537"/>
      <c r="L61" s="537"/>
      <c r="M61" s="537"/>
      <c r="N61" s="537"/>
      <c r="O61" s="537"/>
      <c r="P61" s="537"/>
    </row>
    <row r="62" spans="1:17" ht="15">
      <c r="A62" s="9" t="s">
        <v>26</v>
      </c>
      <c r="B62" s="536" t="s">
        <v>427</v>
      </c>
      <c r="C62" s="527"/>
      <c r="D62" s="527"/>
      <c r="E62" s="527"/>
      <c r="F62" s="527"/>
      <c r="G62" s="527"/>
      <c r="H62" s="527"/>
      <c r="I62" s="527"/>
      <c r="J62" s="527"/>
      <c r="K62" s="527"/>
      <c r="L62" s="527"/>
      <c r="M62" s="527"/>
      <c r="N62" s="527"/>
      <c r="O62" s="527"/>
      <c r="P62" s="527"/>
    </row>
    <row r="63" spans="1:17" ht="27.6" customHeight="1">
      <c r="A63" s="9" t="s">
        <v>30</v>
      </c>
      <c r="B63" s="533" t="s">
        <v>428</v>
      </c>
      <c r="C63" s="533"/>
      <c r="D63" s="533"/>
      <c r="E63" s="533"/>
      <c r="F63" s="533"/>
      <c r="G63" s="533"/>
      <c r="H63" s="533"/>
      <c r="I63" s="533"/>
      <c r="J63" s="533"/>
      <c r="K63" s="533"/>
      <c r="L63" s="533"/>
      <c r="M63" s="533"/>
      <c r="N63" s="533"/>
      <c r="O63" s="533"/>
      <c r="P63" s="533"/>
    </row>
    <row r="65" spans="1:3">
      <c r="A65" s="136" t="s">
        <v>531</v>
      </c>
    </row>
    <row r="67" spans="1:3">
      <c r="A67" s="419"/>
      <c r="B67" s="164" t="s">
        <v>532</v>
      </c>
      <c r="C67" s="420"/>
    </row>
    <row r="68" spans="1:3">
      <c r="A68" s="421" t="s">
        <v>201</v>
      </c>
      <c r="B68" s="422" t="s">
        <v>279</v>
      </c>
      <c r="C68" s="423" t="s">
        <v>278</v>
      </c>
    </row>
    <row r="69" spans="1:3">
      <c r="A69" s="130">
        <v>2018</v>
      </c>
      <c r="B69" s="195">
        <v>-4.8000000000000001E-2</v>
      </c>
      <c r="C69" s="321">
        <f t="shared" ref="C69:C74" si="1">B69+1</f>
        <v>0.95199999999999996</v>
      </c>
    </row>
    <row r="70" spans="1:3">
      <c r="A70" s="130">
        <f>A69-1</f>
        <v>2017</v>
      </c>
      <c r="B70" s="195">
        <v>-4.8000000000000001E-2</v>
      </c>
      <c r="C70" s="321">
        <f t="shared" si="1"/>
        <v>0.95199999999999996</v>
      </c>
    </row>
    <row r="71" spans="1:3">
      <c r="A71" s="130">
        <f t="shared" ref="A71:A74" si="2">A70-1</f>
        <v>2016</v>
      </c>
      <c r="B71" s="195">
        <v>-3.6999999999999998E-2</v>
      </c>
      <c r="C71" s="321">
        <f t="shared" si="1"/>
        <v>0.96299999999999997</v>
      </c>
    </row>
    <row r="72" spans="1:3">
      <c r="A72" s="130">
        <f t="shared" si="2"/>
        <v>2015</v>
      </c>
      <c r="B72" s="195">
        <v>-2.5000000000000001E-2</v>
      </c>
      <c r="C72" s="321">
        <f t="shared" si="1"/>
        <v>0.97499999999999998</v>
      </c>
    </row>
    <row r="73" spans="1:3">
      <c r="A73" s="130">
        <f t="shared" si="2"/>
        <v>2014</v>
      </c>
      <c r="B73" s="195">
        <v>-1.4999999999999999E-2</v>
      </c>
      <c r="C73" s="321">
        <f t="shared" si="1"/>
        <v>0.98499999999999999</v>
      </c>
    </row>
    <row r="74" spans="1:3">
      <c r="A74" s="131">
        <f t="shared" si="2"/>
        <v>2013</v>
      </c>
      <c r="B74" s="424">
        <v>-7.0000000000000001E-3</v>
      </c>
      <c r="C74" s="322">
        <f t="shared" si="1"/>
        <v>0.99299999999999999</v>
      </c>
    </row>
  </sheetData>
  <mergeCells count="7">
    <mergeCell ref="B63:P63"/>
    <mergeCell ref="B60:P60"/>
    <mergeCell ref="B61:P61"/>
    <mergeCell ref="B62:P62"/>
    <mergeCell ref="A1:Q1"/>
    <mergeCell ref="B3:Q3"/>
    <mergeCell ref="B31:Q31"/>
  </mergeCells>
  <printOptions horizontalCentered="1"/>
  <pageMargins left="0.7" right="0.7" top="0.75" bottom="0.75" header="0.3" footer="0.3"/>
  <pageSetup scale="6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U53"/>
  <sheetViews>
    <sheetView zoomScaleNormal="100" workbookViewId="0">
      <selection sqref="A1:T1"/>
    </sheetView>
  </sheetViews>
  <sheetFormatPr defaultColWidth="9.140625" defaultRowHeight="12.75"/>
  <cols>
    <col min="1" max="1" width="12.7109375" style="253" customWidth="1"/>
    <col min="2" max="14" width="9.140625" style="253" customWidth="1"/>
    <col min="15" max="17" width="9.28515625" style="253" customWidth="1"/>
    <col min="18" max="18" width="9.28515625" style="375" customWidth="1"/>
    <col min="19" max="19" width="15.140625" style="253" customWidth="1"/>
    <col min="20" max="20" width="13.140625" style="253" customWidth="1"/>
    <col min="21" max="21" width="3.140625" style="253" bestFit="1" customWidth="1"/>
    <col min="22" max="16384" width="9.140625" style="253"/>
  </cols>
  <sheetData>
    <row r="1" spans="1:21" ht="15">
      <c r="A1" s="531" t="s">
        <v>42</v>
      </c>
      <c r="B1" s="531"/>
      <c r="C1" s="531"/>
      <c r="D1" s="531"/>
      <c r="E1" s="531"/>
      <c r="F1" s="531"/>
      <c r="G1" s="531"/>
      <c r="H1" s="531"/>
      <c r="I1" s="531"/>
      <c r="J1" s="531"/>
      <c r="K1" s="531"/>
      <c r="L1" s="531"/>
      <c r="M1" s="531"/>
      <c r="N1" s="531"/>
      <c r="O1" s="531"/>
      <c r="P1" s="531"/>
      <c r="Q1" s="531"/>
      <c r="R1" s="531"/>
      <c r="S1" s="531"/>
      <c r="T1" s="542"/>
      <c r="U1" s="24"/>
    </row>
    <row r="2" spans="1:21">
      <c r="A2" s="24"/>
      <c r="B2" s="24"/>
      <c r="C2" s="24"/>
      <c r="D2" s="24"/>
      <c r="E2" s="24"/>
      <c r="F2" s="24"/>
      <c r="G2" s="24"/>
      <c r="H2" s="24"/>
      <c r="I2" s="24"/>
      <c r="J2" s="24"/>
      <c r="K2" s="24"/>
      <c r="L2" s="24"/>
      <c r="M2" s="24"/>
      <c r="N2" s="24"/>
      <c r="O2" s="24"/>
      <c r="P2" s="24"/>
      <c r="Q2" s="24"/>
      <c r="R2" s="24"/>
      <c r="S2" s="24"/>
      <c r="T2" s="24"/>
      <c r="U2" s="24"/>
    </row>
    <row r="3" spans="1:21" ht="15">
      <c r="A3" s="1" t="s">
        <v>67</v>
      </c>
      <c r="B3" s="538" t="s">
        <v>18</v>
      </c>
      <c r="C3" s="538"/>
      <c r="D3" s="538"/>
      <c r="E3" s="538"/>
      <c r="F3" s="538"/>
      <c r="G3" s="538"/>
      <c r="H3" s="538"/>
      <c r="I3" s="538"/>
      <c r="J3" s="538"/>
      <c r="K3" s="538"/>
      <c r="L3" s="538"/>
      <c r="M3" s="538"/>
      <c r="N3" s="538"/>
      <c r="O3" s="538"/>
      <c r="P3" s="538"/>
      <c r="Q3" s="538"/>
      <c r="R3" s="538"/>
      <c r="S3" s="538"/>
      <c r="T3" s="541"/>
      <c r="U3" s="29"/>
    </row>
    <row r="4" spans="1:21">
      <c r="A4" s="26" t="s">
        <v>19</v>
      </c>
      <c r="B4" s="407" t="s">
        <v>451</v>
      </c>
      <c r="C4" s="407" t="s">
        <v>452</v>
      </c>
      <c r="D4" s="407" t="s">
        <v>453</v>
      </c>
      <c r="E4" s="407" t="s">
        <v>454</v>
      </c>
      <c r="F4" s="407" t="s">
        <v>455</v>
      </c>
      <c r="G4" s="407" t="s">
        <v>456</v>
      </c>
      <c r="H4" s="407" t="s">
        <v>457</v>
      </c>
      <c r="I4" s="407" t="s">
        <v>458</v>
      </c>
      <c r="J4" s="407" t="s">
        <v>459</v>
      </c>
      <c r="K4" s="407" t="s">
        <v>460</v>
      </c>
      <c r="L4" s="407" t="s">
        <v>461</v>
      </c>
      <c r="M4" s="407" t="s">
        <v>462</v>
      </c>
      <c r="N4" s="407" t="s">
        <v>463</v>
      </c>
      <c r="O4" s="407" t="s">
        <v>464</v>
      </c>
      <c r="P4" s="407" t="s">
        <v>465</v>
      </c>
      <c r="Q4" s="407" t="s">
        <v>466</v>
      </c>
      <c r="R4" s="407" t="s">
        <v>467</v>
      </c>
      <c r="S4" s="407" t="s">
        <v>472</v>
      </c>
      <c r="T4" s="407" t="s">
        <v>473</v>
      </c>
      <c r="U4" s="30"/>
    </row>
    <row r="5" spans="1:21">
      <c r="A5" s="1">
        <v>1983</v>
      </c>
      <c r="B5" s="408" t="s">
        <v>36</v>
      </c>
      <c r="C5" s="408" t="s">
        <v>36</v>
      </c>
      <c r="D5" s="408" t="s">
        <v>36</v>
      </c>
      <c r="E5" s="408">
        <v>1.006</v>
      </c>
      <c r="F5" s="408">
        <v>1.006</v>
      </c>
      <c r="G5" s="408">
        <v>1.0049999999999999</v>
      </c>
      <c r="H5" s="408">
        <v>1.004</v>
      </c>
      <c r="I5" s="408">
        <v>1.004</v>
      </c>
      <c r="J5" s="408">
        <v>1.004</v>
      </c>
      <c r="K5" s="408">
        <v>1.0049999999999999</v>
      </c>
      <c r="L5" s="408">
        <v>1.004</v>
      </c>
      <c r="M5" s="408">
        <v>1.004</v>
      </c>
      <c r="N5" s="408">
        <v>1.004</v>
      </c>
      <c r="O5" s="408">
        <v>1.004</v>
      </c>
      <c r="P5" s="408">
        <v>1.0029999999999999</v>
      </c>
      <c r="Q5" s="408">
        <v>1.0029999999999999</v>
      </c>
      <c r="R5" s="408">
        <v>1.004</v>
      </c>
      <c r="S5" s="411">
        <v>1.0329999999999999</v>
      </c>
      <c r="T5" s="411"/>
      <c r="U5" s="30"/>
    </row>
    <row r="6" spans="1:21">
      <c r="A6" s="1">
        <v>1984</v>
      </c>
      <c r="B6" s="408" t="s">
        <v>36</v>
      </c>
      <c r="C6" s="408" t="s">
        <v>36</v>
      </c>
      <c r="D6" s="408">
        <v>1.0049999999999999</v>
      </c>
      <c r="E6" s="408">
        <v>1.0049999999999999</v>
      </c>
      <c r="F6" s="408">
        <v>1.004</v>
      </c>
      <c r="G6" s="408">
        <v>1.004</v>
      </c>
      <c r="H6" s="408">
        <v>1.0029999999999999</v>
      </c>
      <c r="I6" s="408">
        <v>1.0029999999999999</v>
      </c>
      <c r="J6" s="408">
        <v>1.0029999999999999</v>
      </c>
      <c r="K6" s="408">
        <v>1.004</v>
      </c>
      <c r="L6" s="408">
        <v>1.004</v>
      </c>
      <c r="M6" s="408">
        <v>1.0029999999999999</v>
      </c>
      <c r="N6" s="408">
        <v>1.0029999999999999</v>
      </c>
      <c r="O6" s="408">
        <v>1.002</v>
      </c>
      <c r="P6" s="408">
        <v>1.0029999999999999</v>
      </c>
      <c r="Q6" s="408">
        <v>1.002</v>
      </c>
      <c r="R6" s="408">
        <v>1.0009999999999999</v>
      </c>
      <c r="S6" s="411">
        <v>1.0349999999999999</v>
      </c>
      <c r="T6" s="411"/>
      <c r="U6" s="24"/>
    </row>
    <row r="7" spans="1:21">
      <c r="A7" s="1">
        <v>1985</v>
      </c>
      <c r="B7" s="408" t="s">
        <v>36</v>
      </c>
      <c r="C7" s="408">
        <v>1.006</v>
      </c>
      <c r="D7" s="408">
        <v>1.004</v>
      </c>
      <c r="E7" s="408">
        <v>1.0049999999999999</v>
      </c>
      <c r="F7" s="408">
        <v>1.0049999999999999</v>
      </c>
      <c r="G7" s="408">
        <v>1.006</v>
      </c>
      <c r="H7" s="408">
        <v>1.004</v>
      </c>
      <c r="I7" s="408">
        <v>1.004</v>
      </c>
      <c r="J7" s="408">
        <v>1.0029999999999999</v>
      </c>
      <c r="K7" s="408">
        <v>1.004</v>
      </c>
      <c r="L7" s="408">
        <v>1.004</v>
      </c>
      <c r="M7" s="408">
        <v>1.0029999999999999</v>
      </c>
      <c r="N7" s="408">
        <v>1.0029999999999999</v>
      </c>
      <c r="O7" s="408">
        <v>1.002</v>
      </c>
      <c r="P7" s="408">
        <v>1.0029999999999999</v>
      </c>
      <c r="Q7" s="408">
        <v>1.002</v>
      </c>
      <c r="R7" s="408">
        <v>1.002</v>
      </c>
      <c r="S7" s="411">
        <v>1.03</v>
      </c>
      <c r="T7" s="411"/>
      <c r="U7" s="24"/>
    </row>
    <row r="8" spans="1:21">
      <c r="A8" s="1">
        <v>1986</v>
      </c>
      <c r="B8" s="408">
        <v>1.006</v>
      </c>
      <c r="C8" s="408">
        <v>1.006</v>
      </c>
      <c r="D8" s="408">
        <v>1.006</v>
      </c>
      <c r="E8" s="408">
        <v>1.004</v>
      </c>
      <c r="F8" s="408">
        <v>1.004</v>
      </c>
      <c r="G8" s="408">
        <v>1.004</v>
      </c>
      <c r="H8" s="408">
        <v>1.0049999999999999</v>
      </c>
      <c r="I8" s="408">
        <v>1.0049999999999999</v>
      </c>
      <c r="J8" s="408">
        <v>1.0049999999999999</v>
      </c>
      <c r="K8" s="408">
        <v>1.0049999999999999</v>
      </c>
      <c r="L8" s="408">
        <v>1.0049999999999999</v>
      </c>
      <c r="M8" s="408">
        <v>1.006</v>
      </c>
      <c r="N8" s="408">
        <v>1.004</v>
      </c>
      <c r="O8" s="408">
        <v>1.006</v>
      </c>
      <c r="P8" s="408">
        <v>1.004</v>
      </c>
      <c r="Q8" s="408">
        <v>1.0029999999999999</v>
      </c>
      <c r="R8" s="408" t="s">
        <v>36</v>
      </c>
      <c r="S8" s="411">
        <v>1.0269999999999999</v>
      </c>
      <c r="T8" s="411"/>
      <c r="U8" s="24"/>
    </row>
    <row r="9" spans="1:21">
      <c r="A9" s="1">
        <v>1987</v>
      </c>
      <c r="B9" s="408">
        <v>1.0069999999999999</v>
      </c>
      <c r="C9" s="408">
        <v>1.0069999999999999</v>
      </c>
      <c r="D9" s="408">
        <v>1.006</v>
      </c>
      <c r="E9" s="408">
        <v>1.008</v>
      </c>
      <c r="F9" s="408">
        <v>1.0049999999999999</v>
      </c>
      <c r="G9" s="408">
        <v>1.0049999999999999</v>
      </c>
      <c r="H9" s="408">
        <v>1.0049999999999999</v>
      </c>
      <c r="I9" s="408">
        <v>1.0049999999999999</v>
      </c>
      <c r="J9" s="408">
        <v>1.0049999999999999</v>
      </c>
      <c r="K9" s="408">
        <v>1.006</v>
      </c>
      <c r="L9" s="408">
        <v>1.0049999999999999</v>
      </c>
      <c r="M9" s="408">
        <v>1.0029999999999999</v>
      </c>
      <c r="N9" s="408">
        <v>1.0029999999999999</v>
      </c>
      <c r="O9" s="408">
        <v>1.002</v>
      </c>
      <c r="P9" s="408">
        <v>1.0029999999999999</v>
      </c>
      <c r="Q9" s="408" t="s">
        <v>36</v>
      </c>
      <c r="R9" s="408" t="s">
        <v>36</v>
      </c>
      <c r="S9" s="411">
        <v>1.018</v>
      </c>
      <c r="T9" s="411"/>
      <c r="U9" s="24"/>
    </row>
    <row r="10" spans="1:21">
      <c r="A10" s="1">
        <v>1988</v>
      </c>
      <c r="B10" s="408">
        <v>1.006</v>
      </c>
      <c r="C10" s="408">
        <v>1.0049999999999999</v>
      </c>
      <c r="D10" s="408">
        <v>1.008</v>
      </c>
      <c r="E10" s="408">
        <v>1.0049999999999999</v>
      </c>
      <c r="F10" s="408">
        <v>1.0049999999999999</v>
      </c>
      <c r="G10" s="408">
        <v>1.006</v>
      </c>
      <c r="H10" s="408">
        <v>1.006</v>
      </c>
      <c r="I10" s="408">
        <v>1.004</v>
      </c>
      <c r="J10" s="408">
        <v>1.0049999999999999</v>
      </c>
      <c r="K10" s="408">
        <v>1.004</v>
      </c>
      <c r="L10" s="408">
        <v>1.0029999999999999</v>
      </c>
      <c r="M10" s="408">
        <v>1.0029999999999999</v>
      </c>
      <c r="N10" s="408">
        <v>1.0029999999999999</v>
      </c>
      <c r="O10" s="408">
        <v>1.004</v>
      </c>
      <c r="P10" s="408" t="s">
        <v>36</v>
      </c>
      <c r="Q10" s="408" t="s">
        <v>36</v>
      </c>
      <c r="R10" s="408" t="s">
        <v>36</v>
      </c>
      <c r="S10" s="411">
        <v>1.0189999999999999</v>
      </c>
      <c r="T10" s="411"/>
      <c r="U10" s="24"/>
    </row>
    <row r="11" spans="1:21">
      <c r="A11" s="1">
        <v>1989</v>
      </c>
      <c r="B11" s="408">
        <v>1.0049999999999999</v>
      </c>
      <c r="C11" s="408">
        <v>1.006</v>
      </c>
      <c r="D11" s="408">
        <v>1.006</v>
      </c>
      <c r="E11" s="408">
        <v>1.0049999999999999</v>
      </c>
      <c r="F11" s="408">
        <v>1.0049999999999999</v>
      </c>
      <c r="G11" s="408">
        <v>1.008</v>
      </c>
      <c r="H11" s="408">
        <v>1.006</v>
      </c>
      <c r="I11" s="408">
        <v>1.006</v>
      </c>
      <c r="J11" s="408">
        <v>1.0049999999999999</v>
      </c>
      <c r="K11" s="408">
        <v>1.0029999999999999</v>
      </c>
      <c r="L11" s="408">
        <v>1.0029999999999999</v>
      </c>
      <c r="M11" s="408">
        <v>1.0029999999999999</v>
      </c>
      <c r="N11" s="408">
        <v>1.0029999999999999</v>
      </c>
      <c r="O11" s="408" t="s">
        <v>36</v>
      </c>
      <c r="P11" s="408" t="s">
        <v>36</v>
      </c>
      <c r="Q11" s="408" t="s">
        <v>36</v>
      </c>
      <c r="R11" s="408" t="s">
        <v>36</v>
      </c>
      <c r="S11" s="418"/>
      <c r="T11" s="418"/>
      <c r="U11" s="24"/>
    </row>
    <row r="12" spans="1:21">
      <c r="A12" s="1">
        <v>1990</v>
      </c>
      <c r="B12" s="408">
        <v>1.0049999999999999</v>
      </c>
      <c r="C12" s="408">
        <v>1.0049999999999999</v>
      </c>
      <c r="D12" s="408">
        <v>1.0049999999999999</v>
      </c>
      <c r="E12" s="408">
        <v>1.0049999999999999</v>
      </c>
      <c r="F12" s="408">
        <v>1.006</v>
      </c>
      <c r="G12" s="408">
        <v>1.004</v>
      </c>
      <c r="H12" s="408">
        <v>1.004</v>
      </c>
      <c r="I12" s="408">
        <v>1.004</v>
      </c>
      <c r="J12" s="408">
        <v>1.0029999999999999</v>
      </c>
      <c r="K12" s="408">
        <v>1.002</v>
      </c>
      <c r="L12" s="408">
        <v>1.002</v>
      </c>
      <c r="M12" s="408">
        <v>1.0029999999999999</v>
      </c>
      <c r="N12" s="408" t="s">
        <v>36</v>
      </c>
      <c r="O12" s="408" t="s">
        <v>36</v>
      </c>
      <c r="P12" s="408" t="s">
        <v>36</v>
      </c>
      <c r="Q12" s="408" t="s">
        <v>36</v>
      </c>
      <c r="R12" s="408" t="s">
        <v>36</v>
      </c>
      <c r="S12" s="418"/>
      <c r="T12" s="418"/>
      <c r="U12" s="24"/>
    </row>
    <row r="13" spans="1:21">
      <c r="A13" s="1">
        <v>1991</v>
      </c>
      <c r="B13" s="408">
        <v>1.006</v>
      </c>
      <c r="C13" s="408">
        <v>1.006</v>
      </c>
      <c r="D13" s="408">
        <v>1.006</v>
      </c>
      <c r="E13" s="408">
        <v>1.0049999999999999</v>
      </c>
      <c r="F13" s="408">
        <v>1.006</v>
      </c>
      <c r="G13" s="408">
        <v>1.006</v>
      </c>
      <c r="H13" s="408">
        <v>1.0049999999999999</v>
      </c>
      <c r="I13" s="408">
        <v>1.004</v>
      </c>
      <c r="J13" s="408">
        <v>1.0029999999999999</v>
      </c>
      <c r="K13" s="408">
        <v>1.002</v>
      </c>
      <c r="L13" s="408">
        <v>1.004</v>
      </c>
      <c r="M13" s="408" t="s">
        <v>36</v>
      </c>
      <c r="N13" s="408" t="s">
        <v>36</v>
      </c>
      <c r="O13" s="408" t="s">
        <v>36</v>
      </c>
      <c r="P13" s="408" t="s">
        <v>36</v>
      </c>
      <c r="Q13" s="408" t="s">
        <v>36</v>
      </c>
      <c r="R13" s="408" t="s">
        <v>36</v>
      </c>
      <c r="S13" s="418"/>
      <c r="T13" s="418"/>
      <c r="U13" s="24"/>
    </row>
    <row r="14" spans="1:21">
      <c r="A14" s="1">
        <v>1992</v>
      </c>
      <c r="B14" s="408">
        <v>1.0069999999999999</v>
      </c>
      <c r="C14" s="408">
        <v>1.0069999999999999</v>
      </c>
      <c r="D14" s="408">
        <v>1</v>
      </c>
      <c r="E14" s="408">
        <v>1.0069999999999999</v>
      </c>
      <c r="F14" s="408">
        <v>1.0069999999999999</v>
      </c>
      <c r="G14" s="408">
        <v>1.0049999999999999</v>
      </c>
      <c r="H14" s="408">
        <v>1.0049999999999999</v>
      </c>
      <c r="I14" s="408">
        <v>1.0049999999999999</v>
      </c>
      <c r="J14" s="408">
        <v>1.0049999999999999</v>
      </c>
      <c r="K14" s="408">
        <v>1.006</v>
      </c>
      <c r="L14" s="408" t="s">
        <v>36</v>
      </c>
      <c r="M14" s="408" t="s">
        <v>36</v>
      </c>
      <c r="N14" s="408" t="s">
        <v>36</v>
      </c>
      <c r="O14" s="408" t="s">
        <v>36</v>
      </c>
      <c r="P14" s="408" t="s">
        <v>36</v>
      </c>
      <c r="Q14" s="408" t="s">
        <v>36</v>
      </c>
      <c r="R14" s="408" t="s">
        <v>36</v>
      </c>
      <c r="S14" s="418"/>
      <c r="T14" s="418"/>
      <c r="U14" s="24"/>
    </row>
    <row r="15" spans="1:21">
      <c r="A15" s="1">
        <v>1993</v>
      </c>
      <c r="B15" s="408">
        <v>1.0109999999999999</v>
      </c>
      <c r="C15" s="408">
        <v>1.0109999999999999</v>
      </c>
      <c r="D15" s="408">
        <v>1.0089999999999999</v>
      </c>
      <c r="E15" s="408">
        <v>1.0129999999999999</v>
      </c>
      <c r="F15" s="408">
        <v>1.01</v>
      </c>
      <c r="G15" s="408">
        <v>1.008</v>
      </c>
      <c r="H15" s="408">
        <v>1.0049999999999999</v>
      </c>
      <c r="I15" s="408">
        <v>1.006</v>
      </c>
      <c r="J15" s="408">
        <v>1.008</v>
      </c>
      <c r="K15" s="408" t="s">
        <v>36</v>
      </c>
      <c r="L15" s="408" t="s">
        <v>36</v>
      </c>
      <c r="M15" s="408" t="s">
        <v>36</v>
      </c>
      <c r="N15" s="408" t="s">
        <v>36</v>
      </c>
      <c r="O15" s="408" t="s">
        <v>36</v>
      </c>
      <c r="P15" s="408" t="s">
        <v>36</v>
      </c>
      <c r="Q15" s="408" t="s">
        <v>36</v>
      </c>
      <c r="R15" s="408" t="s">
        <v>36</v>
      </c>
      <c r="S15" s="418"/>
      <c r="T15" s="418"/>
      <c r="U15" s="24"/>
    </row>
    <row r="16" spans="1:21">
      <c r="A16" s="1">
        <v>1994</v>
      </c>
      <c r="B16" s="408">
        <v>1.0089999999999999</v>
      </c>
      <c r="C16" s="408">
        <v>1.0089999999999999</v>
      </c>
      <c r="D16" s="408">
        <v>1.012</v>
      </c>
      <c r="E16" s="408">
        <v>1.01</v>
      </c>
      <c r="F16" s="408">
        <v>1.008</v>
      </c>
      <c r="G16" s="408">
        <v>1.008</v>
      </c>
      <c r="H16" s="408">
        <v>1.0069999999999999</v>
      </c>
      <c r="I16" s="408">
        <v>1.004</v>
      </c>
      <c r="J16" s="408" t="s">
        <v>36</v>
      </c>
      <c r="K16" s="408" t="s">
        <v>36</v>
      </c>
      <c r="L16" s="408" t="s">
        <v>36</v>
      </c>
      <c r="M16" s="408" t="s">
        <v>36</v>
      </c>
      <c r="N16" s="408" t="s">
        <v>36</v>
      </c>
      <c r="O16" s="408" t="s">
        <v>36</v>
      </c>
      <c r="P16" s="408" t="s">
        <v>36</v>
      </c>
      <c r="Q16" s="408" t="s">
        <v>36</v>
      </c>
      <c r="R16" s="408" t="s">
        <v>36</v>
      </c>
      <c r="S16" s="418"/>
      <c r="T16" s="418"/>
      <c r="U16" s="24"/>
    </row>
    <row r="17" spans="1:21">
      <c r="A17" s="1">
        <v>1995</v>
      </c>
      <c r="B17" s="408">
        <v>1.012</v>
      </c>
      <c r="C17" s="408">
        <v>1.016</v>
      </c>
      <c r="D17" s="408">
        <v>1.0129999999999999</v>
      </c>
      <c r="E17" s="408">
        <v>1.0109999999999999</v>
      </c>
      <c r="F17" s="408">
        <v>1.0129999999999999</v>
      </c>
      <c r="G17" s="408">
        <v>1.0069999999999999</v>
      </c>
      <c r="H17" s="408">
        <v>1.0069999999999999</v>
      </c>
      <c r="I17" s="408" t="s">
        <v>36</v>
      </c>
      <c r="J17" s="408" t="s">
        <v>36</v>
      </c>
      <c r="K17" s="408" t="s">
        <v>36</v>
      </c>
      <c r="L17" s="408" t="s">
        <v>36</v>
      </c>
      <c r="M17" s="408" t="s">
        <v>36</v>
      </c>
      <c r="N17" s="408" t="s">
        <v>36</v>
      </c>
      <c r="O17" s="408" t="s">
        <v>36</v>
      </c>
      <c r="P17" s="408" t="s">
        <v>36</v>
      </c>
      <c r="Q17" s="408" t="s">
        <v>36</v>
      </c>
      <c r="R17" s="408" t="s">
        <v>36</v>
      </c>
      <c r="S17" s="418"/>
      <c r="T17" s="418"/>
      <c r="U17" s="24"/>
    </row>
    <row r="18" spans="1:21">
      <c r="A18" s="1">
        <v>1996</v>
      </c>
      <c r="B18" s="408">
        <v>1.014</v>
      </c>
      <c r="C18" s="408">
        <v>1.014</v>
      </c>
      <c r="D18" s="408">
        <v>1.01</v>
      </c>
      <c r="E18" s="408">
        <v>1.0069999999999999</v>
      </c>
      <c r="F18" s="408">
        <v>1.0069999999999999</v>
      </c>
      <c r="G18" s="408">
        <v>1.0089999999999999</v>
      </c>
      <c r="H18" s="408" t="s">
        <v>36</v>
      </c>
      <c r="I18" s="408" t="s">
        <v>36</v>
      </c>
      <c r="J18" s="408" t="s">
        <v>36</v>
      </c>
      <c r="K18" s="408" t="s">
        <v>36</v>
      </c>
      <c r="L18" s="408" t="s">
        <v>36</v>
      </c>
      <c r="M18" s="408" t="s">
        <v>36</v>
      </c>
      <c r="N18" s="408" t="s">
        <v>36</v>
      </c>
      <c r="O18" s="408" t="s">
        <v>36</v>
      </c>
      <c r="P18" s="408" t="s">
        <v>36</v>
      </c>
      <c r="Q18" s="408" t="s">
        <v>36</v>
      </c>
      <c r="R18" s="408" t="s">
        <v>36</v>
      </c>
      <c r="S18" s="418"/>
      <c r="T18" s="418"/>
      <c r="U18" s="24"/>
    </row>
    <row r="19" spans="1:21">
      <c r="A19" s="1">
        <v>1997</v>
      </c>
      <c r="B19" s="408">
        <v>1.0129999999999999</v>
      </c>
      <c r="C19" s="408">
        <v>1.01</v>
      </c>
      <c r="D19" s="408">
        <v>1.006</v>
      </c>
      <c r="E19" s="408">
        <v>1.006</v>
      </c>
      <c r="F19" s="408">
        <v>1.0069999999999999</v>
      </c>
      <c r="G19" s="408" t="s">
        <v>36</v>
      </c>
      <c r="H19" s="408" t="s">
        <v>36</v>
      </c>
      <c r="I19" s="408" t="s">
        <v>36</v>
      </c>
      <c r="J19" s="408" t="s">
        <v>36</v>
      </c>
      <c r="K19" s="408" t="s">
        <v>36</v>
      </c>
      <c r="L19" s="408" t="s">
        <v>36</v>
      </c>
      <c r="M19" s="408" t="s">
        <v>36</v>
      </c>
      <c r="N19" s="408" t="s">
        <v>36</v>
      </c>
      <c r="O19" s="408" t="s">
        <v>36</v>
      </c>
      <c r="P19" s="408" t="s">
        <v>36</v>
      </c>
      <c r="Q19" s="408" t="s">
        <v>36</v>
      </c>
      <c r="R19" s="408" t="s">
        <v>36</v>
      </c>
      <c r="S19" s="418"/>
      <c r="T19" s="418"/>
      <c r="U19" s="24"/>
    </row>
    <row r="20" spans="1:21">
      <c r="A20" s="1">
        <v>1998</v>
      </c>
      <c r="B20" s="408">
        <v>1.0129999999999999</v>
      </c>
      <c r="C20" s="408">
        <v>1.01</v>
      </c>
      <c r="D20" s="408">
        <v>1.0069999999999999</v>
      </c>
      <c r="E20" s="408">
        <v>1.008</v>
      </c>
      <c r="F20" s="408" t="s">
        <v>36</v>
      </c>
      <c r="G20" s="408" t="s">
        <v>36</v>
      </c>
      <c r="H20" s="408" t="s">
        <v>36</v>
      </c>
      <c r="I20" s="408" t="s">
        <v>36</v>
      </c>
      <c r="J20" s="408" t="s">
        <v>36</v>
      </c>
      <c r="K20" s="408" t="s">
        <v>36</v>
      </c>
      <c r="L20" s="408" t="s">
        <v>36</v>
      </c>
      <c r="M20" s="408" t="s">
        <v>36</v>
      </c>
      <c r="N20" s="408" t="s">
        <v>36</v>
      </c>
      <c r="O20" s="408" t="s">
        <v>36</v>
      </c>
      <c r="P20" s="408" t="s">
        <v>36</v>
      </c>
      <c r="Q20" s="408" t="s">
        <v>36</v>
      </c>
      <c r="R20" s="408" t="s">
        <v>36</v>
      </c>
      <c r="S20" s="418"/>
      <c r="T20" s="418"/>
      <c r="U20" s="24"/>
    </row>
    <row r="21" spans="1:21">
      <c r="A21" s="1">
        <v>1999</v>
      </c>
      <c r="B21" s="408">
        <v>1.012</v>
      </c>
      <c r="C21" s="408">
        <v>1.0089999999999999</v>
      </c>
      <c r="D21" s="408">
        <v>1.0089999999999999</v>
      </c>
      <c r="E21" s="408" t="s">
        <v>36</v>
      </c>
      <c r="F21" s="408" t="s">
        <v>36</v>
      </c>
      <c r="G21" s="408" t="s">
        <v>36</v>
      </c>
      <c r="H21" s="408" t="s">
        <v>36</v>
      </c>
      <c r="I21" s="408" t="s">
        <v>36</v>
      </c>
      <c r="J21" s="408" t="s">
        <v>36</v>
      </c>
      <c r="K21" s="408" t="s">
        <v>36</v>
      </c>
      <c r="L21" s="408" t="s">
        <v>36</v>
      </c>
      <c r="M21" s="408" t="s">
        <v>36</v>
      </c>
      <c r="N21" s="408" t="s">
        <v>36</v>
      </c>
      <c r="O21" s="408" t="s">
        <v>36</v>
      </c>
      <c r="P21" s="408" t="s">
        <v>36</v>
      </c>
      <c r="Q21" s="408" t="s">
        <v>36</v>
      </c>
      <c r="R21" s="408" t="s">
        <v>36</v>
      </c>
      <c r="S21" s="418"/>
      <c r="T21" s="418"/>
      <c r="U21" s="24"/>
    </row>
    <row r="22" spans="1:21">
      <c r="A22" s="1">
        <v>2000</v>
      </c>
      <c r="B22" s="408">
        <v>1.008</v>
      </c>
      <c r="C22" s="408">
        <v>1.008</v>
      </c>
      <c r="D22" s="408" t="s">
        <v>36</v>
      </c>
      <c r="E22" s="408" t="s">
        <v>36</v>
      </c>
      <c r="F22" s="408" t="s">
        <v>36</v>
      </c>
      <c r="G22" s="408" t="s">
        <v>36</v>
      </c>
      <c r="H22" s="408" t="s">
        <v>36</v>
      </c>
      <c r="I22" s="408" t="s">
        <v>36</v>
      </c>
      <c r="J22" s="408" t="s">
        <v>36</v>
      </c>
      <c r="K22" s="408" t="s">
        <v>36</v>
      </c>
      <c r="L22" s="408" t="s">
        <v>36</v>
      </c>
      <c r="M22" s="408" t="s">
        <v>36</v>
      </c>
      <c r="N22" s="408" t="s">
        <v>36</v>
      </c>
      <c r="O22" s="408" t="s">
        <v>36</v>
      </c>
      <c r="P22" s="408" t="s">
        <v>36</v>
      </c>
      <c r="Q22" s="408" t="s">
        <v>36</v>
      </c>
      <c r="R22" s="408" t="s">
        <v>36</v>
      </c>
      <c r="S22" s="418"/>
      <c r="T22" s="418"/>
      <c r="U22" s="24"/>
    </row>
    <row r="23" spans="1:21">
      <c r="A23" s="1">
        <v>2001</v>
      </c>
      <c r="B23" s="408">
        <v>1.01</v>
      </c>
      <c r="C23" s="408" t="s">
        <v>36</v>
      </c>
      <c r="D23" s="408" t="s">
        <v>36</v>
      </c>
      <c r="E23" s="408" t="s">
        <v>36</v>
      </c>
      <c r="F23" s="408" t="s">
        <v>36</v>
      </c>
      <c r="G23" s="408" t="s">
        <v>36</v>
      </c>
      <c r="H23" s="408" t="s">
        <v>36</v>
      </c>
      <c r="I23" s="408" t="s">
        <v>36</v>
      </c>
      <c r="J23" s="408" t="s">
        <v>36</v>
      </c>
      <c r="K23" s="408" t="s">
        <v>36</v>
      </c>
      <c r="L23" s="408" t="s">
        <v>36</v>
      </c>
      <c r="M23" s="408" t="s">
        <v>36</v>
      </c>
      <c r="N23" s="408" t="s">
        <v>36</v>
      </c>
      <c r="O23" s="408" t="s">
        <v>36</v>
      </c>
      <c r="P23" s="408" t="s">
        <v>36</v>
      </c>
      <c r="Q23" s="408" t="s">
        <v>36</v>
      </c>
      <c r="R23" s="408" t="s">
        <v>36</v>
      </c>
      <c r="S23" s="418"/>
      <c r="T23" s="418"/>
      <c r="U23" s="24"/>
    </row>
    <row r="24" spans="1:21">
      <c r="A24" s="1"/>
      <c r="B24" s="23"/>
      <c r="C24" s="23"/>
      <c r="D24" s="23"/>
      <c r="E24" s="23"/>
      <c r="F24" s="23"/>
      <c r="G24" s="23"/>
      <c r="H24" s="23"/>
      <c r="I24" s="23"/>
      <c r="J24" s="23"/>
      <c r="K24" s="23"/>
      <c r="L24" s="23"/>
      <c r="M24" s="23"/>
      <c r="N24" s="23"/>
      <c r="O24" s="23"/>
      <c r="P24" s="23"/>
      <c r="Q24" s="24"/>
      <c r="R24" s="24"/>
      <c r="S24" s="24"/>
      <c r="T24" s="24"/>
      <c r="U24" s="24"/>
    </row>
    <row r="25" spans="1:21" ht="15">
      <c r="A25" s="1" t="s">
        <v>68</v>
      </c>
      <c r="B25" s="538" t="s">
        <v>18</v>
      </c>
      <c r="C25" s="538"/>
      <c r="D25" s="538"/>
      <c r="E25" s="538"/>
      <c r="F25" s="538"/>
      <c r="G25" s="538"/>
      <c r="H25" s="538"/>
      <c r="I25" s="538"/>
      <c r="J25" s="538"/>
      <c r="K25" s="538"/>
      <c r="L25" s="538"/>
      <c r="M25" s="538"/>
      <c r="N25" s="538"/>
      <c r="O25" s="538"/>
      <c r="P25" s="538"/>
      <c r="Q25" s="538"/>
      <c r="R25" s="538"/>
      <c r="S25" s="538"/>
      <c r="T25" s="541"/>
      <c r="U25" s="29"/>
    </row>
    <row r="26" spans="1:21">
      <c r="A26" s="26" t="s">
        <v>19</v>
      </c>
      <c r="B26" s="425" t="s">
        <v>451</v>
      </c>
      <c r="C26" s="425" t="s">
        <v>452</v>
      </c>
      <c r="D26" s="425" t="s">
        <v>453</v>
      </c>
      <c r="E26" s="425" t="s">
        <v>454</v>
      </c>
      <c r="F26" s="425" t="s">
        <v>455</v>
      </c>
      <c r="G26" s="425" t="s">
        <v>456</v>
      </c>
      <c r="H26" s="425" t="s">
        <v>457</v>
      </c>
      <c r="I26" s="425" t="s">
        <v>458</v>
      </c>
      <c r="J26" s="425" t="s">
        <v>459</v>
      </c>
      <c r="K26" s="425" t="s">
        <v>460</v>
      </c>
      <c r="L26" s="425" t="s">
        <v>461</v>
      </c>
      <c r="M26" s="425" t="s">
        <v>462</v>
      </c>
      <c r="N26" s="425" t="s">
        <v>463</v>
      </c>
      <c r="O26" s="425" t="s">
        <v>464</v>
      </c>
      <c r="P26" s="425" t="s">
        <v>465</v>
      </c>
      <c r="Q26" s="425" t="s">
        <v>466</v>
      </c>
      <c r="R26" s="425" t="s">
        <v>467</v>
      </c>
      <c r="S26" s="425" t="s">
        <v>472</v>
      </c>
      <c r="T26" s="425" t="s">
        <v>473</v>
      </c>
      <c r="U26" s="30"/>
    </row>
    <row r="27" spans="1:21">
      <c r="A27" s="1">
        <v>1983</v>
      </c>
      <c r="B27" s="408" t="s">
        <v>36</v>
      </c>
      <c r="C27" s="408" t="s">
        <v>36</v>
      </c>
      <c r="D27" s="408" t="s">
        <v>36</v>
      </c>
      <c r="E27" s="408" t="s">
        <v>36</v>
      </c>
      <c r="F27" s="408" t="s">
        <v>36</v>
      </c>
      <c r="G27" s="408" t="s">
        <v>36</v>
      </c>
      <c r="H27" s="408" t="s">
        <v>36</v>
      </c>
      <c r="I27" s="408" t="s">
        <v>36</v>
      </c>
      <c r="J27" s="408" t="s">
        <v>36</v>
      </c>
      <c r="K27" s="408" t="s">
        <v>36</v>
      </c>
      <c r="L27" s="408" t="s">
        <v>36</v>
      </c>
      <c r="M27" s="408" t="s">
        <v>36</v>
      </c>
      <c r="N27" s="408">
        <v>1.004</v>
      </c>
      <c r="O27" s="408">
        <v>1.004</v>
      </c>
      <c r="P27" s="408">
        <v>1.0029999999999999</v>
      </c>
      <c r="Q27" s="408">
        <v>1.0029999999999999</v>
      </c>
      <c r="R27" s="408">
        <v>1.004</v>
      </c>
      <c r="S27" s="23">
        <f>S5</f>
        <v>1.0329999999999999</v>
      </c>
      <c r="T27" s="411"/>
      <c r="U27" s="30"/>
    </row>
    <row r="28" spans="1:21">
      <c r="A28" s="1">
        <v>1984</v>
      </c>
      <c r="B28" s="408" t="s">
        <v>36</v>
      </c>
      <c r="C28" s="408" t="s">
        <v>36</v>
      </c>
      <c r="D28" s="408" t="s">
        <v>36</v>
      </c>
      <c r="E28" s="408" t="s">
        <v>36</v>
      </c>
      <c r="F28" s="408" t="s">
        <v>36</v>
      </c>
      <c r="G28" s="408" t="s">
        <v>36</v>
      </c>
      <c r="H28" s="408" t="s">
        <v>36</v>
      </c>
      <c r="I28" s="408" t="s">
        <v>36</v>
      </c>
      <c r="J28" s="408" t="s">
        <v>36</v>
      </c>
      <c r="K28" s="408" t="s">
        <v>36</v>
      </c>
      <c r="L28" s="408" t="s">
        <v>36</v>
      </c>
      <c r="M28" s="408">
        <v>1.0029999999999999</v>
      </c>
      <c r="N28" s="408">
        <v>1.0029999999999999</v>
      </c>
      <c r="O28" s="408">
        <v>1.002</v>
      </c>
      <c r="P28" s="408">
        <v>1.0029999999999999</v>
      </c>
      <c r="Q28" s="408">
        <v>1.002</v>
      </c>
      <c r="R28" s="408">
        <v>1.0009999999999999</v>
      </c>
      <c r="S28" s="23">
        <f t="shared" ref="S28:S32" si="0">S6</f>
        <v>1.0349999999999999</v>
      </c>
      <c r="T28" s="411"/>
      <c r="U28" s="24"/>
    </row>
    <row r="29" spans="1:21">
      <c r="A29" s="1">
        <v>1985</v>
      </c>
      <c r="B29" s="408" t="s">
        <v>36</v>
      </c>
      <c r="C29" s="408" t="s">
        <v>36</v>
      </c>
      <c r="D29" s="408" t="s">
        <v>36</v>
      </c>
      <c r="E29" s="408" t="s">
        <v>36</v>
      </c>
      <c r="F29" s="408" t="s">
        <v>36</v>
      </c>
      <c r="G29" s="408" t="s">
        <v>36</v>
      </c>
      <c r="H29" s="408" t="s">
        <v>36</v>
      </c>
      <c r="I29" s="408" t="s">
        <v>36</v>
      </c>
      <c r="J29" s="408" t="s">
        <v>36</v>
      </c>
      <c r="K29" s="408" t="s">
        <v>36</v>
      </c>
      <c r="L29" s="408">
        <v>1.004</v>
      </c>
      <c r="M29" s="408">
        <v>1.0029999999999999</v>
      </c>
      <c r="N29" s="408">
        <v>1.0029999999999999</v>
      </c>
      <c r="O29" s="408">
        <v>1.002</v>
      </c>
      <c r="P29" s="408">
        <v>1.0029999999999999</v>
      </c>
      <c r="Q29" s="408">
        <v>1.002</v>
      </c>
      <c r="R29" s="408">
        <v>1.002</v>
      </c>
      <c r="S29" s="23">
        <f t="shared" si="0"/>
        <v>1.03</v>
      </c>
      <c r="T29" s="411"/>
      <c r="U29" s="24"/>
    </row>
    <row r="30" spans="1:21">
      <c r="A30" s="1">
        <v>1986</v>
      </c>
      <c r="B30" s="408" t="s">
        <v>36</v>
      </c>
      <c r="C30" s="408" t="s">
        <v>36</v>
      </c>
      <c r="D30" s="408" t="s">
        <v>36</v>
      </c>
      <c r="E30" s="408" t="s">
        <v>36</v>
      </c>
      <c r="F30" s="408" t="s">
        <v>36</v>
      </c>
      <c r="G30" s="408" t="s">
        <v>36</v>
      </c>
      <c r="H30" s="408" t="s">
        <v>36</v>
      </c>
      <c r="I30" s="408" t="s">
        <v>36</v>
      </c>
      <c r="J30" s="408" t="s">
        <v>36</v>
      </c>
      <c r="K30" s="408">
        <v>1.0049999999999999</v>
      </c>
      <c r="L30" s="408">
        <v>1.004</v>
      </c>
      <c r="M30" s="408">
        <v>1.006</v>
      </c>
      <c r="N30" s="408">
        <v>1.004</v>
      </c>
      <c r="O30" s="408">
        <v>1.006</v>
      </c>
      <c r="P30" s="408">
        <v>1.0049999999999999</v>
      </c>
      <c r="Q30" s="408">
        <v>1.004</v>
      </c>
      <c r="R30" s="408" t="s">
        <v>36</v>
      </c>
      <c r="S30" s="23">
        <f t="shared" si="0"/>
        <v>1.0269999999999999</v>
      </c>
      <c r="T30" s="411"/>
      <c r="U30" s="24"/>
    </row>
    <row r="31" spans="1:21">
      <c r="A31" s="1">
        <v>1987</v>
      </c>
      <c r="B31" s="408" t="s">
        <v>36</v>
      </c>
      <c r="C31" s="408" t="s">
        <v>36</v>
      </c>
      <c r="D31" s="408" t="s">
        <v>36</v>
      </c>
      <c r="E31" s="408" t="s">
        <v>36</v>
      </c>
      <c r="F31" s="408" t="s">
        <v>36</v>
      </c>
      <c r="G31" s="408" t="s">
        <v>36</v>
      </c>
      <c r="H31" s="408" t="s">
        <v>36</v>
      </c>
      <c r="I31" s="408" t="s">
        <v>36</v>
      </c>
      <c r="J31" s="408">
        <v>1.0049999999999999</v>
      </c>
      <c r="K31" s="408">
        <v>1.0049999999999999</v>
      </c>
      <c r="L31" s="408">
        <v>1.004</v>
      </c>
      <c r="M31" s="408">
        <v>1.0029999999999999</v>
      </c>
      <c r="N31" s="408">
        <v>1.0029999999999999</v>
      </c>
      <c r="O31" s="408">
        <v>1.0029999999999999</v>
      </c>
      <c r="P31" s="408">
        <v>1.004</v>
      </c>
      <c r="Q31" s="408" t="s">
        <v>36</v>
      </c>
      <c r="R31" s="408" t="s">
        <v>36</v>
      </c>
      <c r="S31" s="23">
        <f t="shared" si="0"/>
        <v>1.018</v>
      </c>
      <c r="T31" s="411"/>
      <c r="U31" s="24"/>
    </row>
    <row r="32" spans="1:21">
      <c r="A32" s="1">
        <v>1988</v>
      </c>
      <c r="B32" s="408" t="s">
        <v>36</v>
      </c>
      <c r="C32" s="408" t="s">
        <v>36</v>
      </c>
      <c r="D32" s="408" t="s">
        <v>36</v>
      </c>
      <c r="E32" s="408" t="s">
        <v>36</v>
      </c>
      <c r="F32" s="408" t="s">
        <v>36</v>
      </c>
      <c r="G32" s="408" t="s">
        <v>36</v>
      </c>
      <c r="H32" s="408" t="s">
        <v>36</v>
      </c>
      <c r="I32" s="408">
        <v>1.004</v>
      </c>
      <c r="J32" s="408">
        <v>1.004</v>
      </c>
      <c r="K32" s="408">
        <v>1.004</v>
      </c>
      <c r="L32" s="408">
        <v>1.0029999999999999</v>
      </c>
      <c r="M32" s="408">
        <v>1.0029999999999999</v>
      </c>
      <c r="N32" s="408">
        <v>1.0029999999999999</v>
      </c>
      <c r="O32" s="408">
        <v>1.004</v>
      </c>
      <c r="P32" s="408" t="s">
        <v>36</v>
      </c>
      <c r="Q32" s="408" t="s">
        <v>36</v>
      </c>
      <c r="R32" s="408" t="s">
        <v>36</v>
      </c>
      <c r="S32" s="23">
        <f t="shared" si="0"/>
        <v>1.0189999999999999</v>
      </c>
      <c r="T32" s="411"/>
      <c r="U32" s="24"/>
    </row>
    <row r="33" spans="1:21">
      <c r="A33" s="1">
        <v>1989</v>
      </c>
      <c r="B33" s="408" t="s">
        <v>36</v>
      </c>
      <c r="C33" s="408" t="s">
        <v>36</v>
      </c>
      <c r="D33" s="408" t="s">
        <v>36</v>
      </c>
      <c r="E33" s="408" t="s">
        <v>36</v>
      </c>
      <c r="F33" s="408" t="s">
        <v>36</v>
      </c>
      <c r="G33" s="408" t="s">
        <v>36</v>
      </c>
      <c r="H33" s="408">
        <v>1.006</v>
      </c>
      <c r="I33" s="408">
        <v>1.006</v>
      </c>
      <c r="J33" s="408">
        <v>1.0049999999999999</v>
      </c>
      <c r="K33" s="408">
        <v>1.0029999999999999</v>
      </c>
      <c r="L33" s="408">
        <v>1.0029999999999999</v>
      </c>
      <c r="M33" s="408">
        <v>1.0029999999999999</v>
      </c>
      <c r="N33" s="408">
        <v>1.004</v>
      </c>
      <c r="O33" s="408" t="s">
        <v>36</v>
      </c>
      <c r="P33" s="408" t="s">
        <v>36</v>
      </c>
      <c r="Q33" s="408" t="s">
        <v>36</v>
      </c>
      <c r="R33" s="408" t="s">
        <v>36</v>
      </c>
      <c r="S33" s="418"/>
      <c r="T33" s="418"/>
      <c r="U33" s="24"/>
    </row>
    <row r="34" spans="1:21">
      <c r="A34" s="1">
        <v>1990</v>
      </c>
      <c r="B34" s="408" t="s">
        <v>36</v>
      </c>
      <c r="C34" s="408" t="s">
        <v>36</v>
      </c>
      <c r="D34" s="408" t="s">
        <v>36</v>
      </c>
      <c r="E34" s="408" t="s">
        <v>36</v>
      </c>
      <c r="F34" s="408" t="s">
        <v>36</v>
      </c>
      <c r="G34" s="408">
        <v>1.004</v>
      </c>
      <c r="H34" s="408">
        <v>1.004</v>
      </c>
      <c r="I34" s="408">
        <v>1.004</v>
      </c>
      <c r="J34" s="408">
        <v>1.0029999999999999</v>
      </c>
      <c r="K34" s="408">
        <v>1.002</v>
      </c>
      <c r="L34" s="408">
        <v>1.0029999999999999</v>
      </c>
      <c r="M34" s="408">
        <v>1.0029999999999999</v>
      </c>
      <c r="N34" s="408" t="s">
        <v>36</v>
      </c>
      <c r="O34" s="408" t="s">
        <v>36</v>
      </c>
      <c r="P34" s="408" t="s">
        <v>36</v>
      </c>
      <c r="Q34" s="408" t="s">
        <v>36</v>
      </c>
      <c r="R34" s="408" t="s">
        <v>36</v>
      </c>
      <c r="S34" s="418"/>
      <c r="T34" s="418"/>
      <c r="U34" s="24"/>
    </row>
    <row r="35" spans="1:21">
      <c r="A35" s="1">
        <v>1991</v>
      </c>
      <c r="B35" s="408" t="s">
        <v>36</v>
      </c>
      <c r="C35" s="408" t="s">
        <v>36</v>
      </c>
      <c r="D35" s="408" t="s">
        <v>36</v>
      </c>
      <c r="E35" s="408" t="s">
        <v>36</v>
      </c>
      <c r="F35" s="408">
        <v>1.006</v>
      </c>
      <c r="G35" s="408">
        <v>1.0049999999999999</v>
      </c>
      <c r="H35" s="408">
        <v>1.0049999999999999</v>
      </c>
      <c r="I35" s="408">
        <v>1.004</v>
      </c>
      <c r="J35" s="408">
        <v>1.004</v>
      </c>
      <c r="K35" s="408">
        <v>1.0029999999999999</v>
      </c>
      <c r="L35" s="408">
        <v>1.004</v>
      </c>
      <c r="M35" s="408" t="s">
        <v>36</v>
      </c>
      <c r="N35" s="408" t="s">
        <v>36</v>
      </c>
      <c r="O35" s="408" t="s">
        <v>36</v>
      </c>
      <c r="P35" s="408" t="s">
        <v>36</v>
      </c>
      <c r="Q35" s="408" t="s">
        <v>36</v>
      </c>
      <c r="R35" s="408" t="s">
        <v>36</v>
      </c>
      <c r="S35" s="426"/>
      <c r="T35" s="426"/>
      <c r="U35" s="24"/>
    </row>
    <row r="36" spans="1:21">
      <c r="A36" s="1">
        <v>1992</v>
      </c>
      <c r="B36" s="408" t="s">
        <v>36</v>
      </c>
      <c r="C36" s="408" t="s">
        <v>36</v>
      </c>
      <c r="D36" s="408" t="s">
        <v>36</v>
      </c>
      <c r="E36" s="408">
        <v>1.0069999999999999</v>
      </c>
      <c r="F36" s="408">
        <v>1.006</v>
      </c>
      <c r="G36" s="408">
        <v>1.0049999999999999</v>
      </c>
      <c r="H36" s="408">
        <v>1.0049999999999999</v>
      </c>
      <c r="I36" s="408">
        <v>1.0049999999999999</v>
      </c>
      <c r="J36" s="408">
        <v>1.0049999999999999</v>
      </c>
      <c r="K36" s="408">
        <v>1.0069999999999999</v>
      </c>
      <c r="L36" s="408" t="s">
        <v>36</v>
      </c>
      <c r="M36" s="408" t="s">
        <v>36</v>
      </c>
      <c r="N36" s="408" t="s">
        <v>36</v>
      </c>
      <c r="O36" s="408" t="s">
        <v>36</v>
      </c>
      <c r="P36" s="408" t="s">
        <v>36</v>
      </c>
      <c r="Q36" s="408" t="s">
        <v>36</v>
      </c>
      <c r="R36" s="408" t="s">
        <v>36</v>
      </c>
      <c r="S36" s="418"/>
      <c r="T36" s="418"/>
      <c r="U36" s="24"/>
    </row>
    <row r="37" spans="1:21">
      <c r="A37" s="1">
        <v>1993</v>
      </c>
      <c r="B37" s="408" t="s">
        <v>36</v>
      </c>
      <c r="C37" s="408" t="s">
        <v>36</v>
      </c>
      <c r="D37" s="408">
        <v>1.0089999999999999</v>
      </c>
      <c r="E37" s="408">
        <v>1.0109999999999999</v>
      </c>
      <c r="F37" s="408">
        <v>1.01</v>
      </c>
      <c r="G37" s="408">
        <v>1.008</v>
      </c>
      <c r="H37" s="408">
        <v>1.0049999999999999</v>
      </c>
      <c r="I37" s="408">
        <v>1.0069999999999999</v>
      </c>
      <c r="J37" s="408">
        <v>1.0089999999999999</v>
      </c>
      <c r="K37" s="408" t="s">
        <v>36</v>
      </c>
      <c r="L37" s="408" t="s">
        <v>36</v>
      </c>
      <c r="M37" s="408" t="s">
        <v>36</v>
      </c>
      <c r="N37" s="408" t="s">
        <v>36</v>
      </c>
      <c r="O37" s="408" t="s">
        <v>36</v>
      </c>
      <c r="P37" s="408" t="s">
        <v>36</v>
      </c>
      <c r="Q37" s="408" t="s">
        <v>36</v>
      </c>
      <c r="R37" s="408" t="s">
        <v>36</v>
      </c>
      <c r="S37" s="418"/>
      <c r="T37" s="418"/>
      <c r="U37" s="24"/>
    </row>
    <row r="38" spans="1:21">
      <c r="A38" s="1">
        <v>1994</v>
      </c>
      <c r="B38" s="408" t="s">
        <v>36</v>
      </c>
      <c r="C38" s="408">
        <v>1.0089999999999999</v>
      </c>
      <c r="D38" s="408">
        <v>1.01</v>
      </c>
      <c r="E38" s="408">
        <v>1.01</v>
      </c>
      <c r="F38" s="408">
        <v>1.008</v>
      </c>
      <c r="G38" s="408">
        <v>1.0089999999999999</v>
      </c>
      <c r="H38" s="408">
        <v>1.0069999999999999</v>
      </c>
      <c r="I38" s="408">
        <v>1.004</v>
      </c>
      <c r="J38" s="408" t="s">
        <v>36</v>
      </c>
      <c r="K38" s="408" t="s">
        <v>36</v>
      </c>
      <c r="L38" s="408" t="s">
        <v>36</v>
      </c>
      <c r="M38" s="408" t="s">
        <v>36</v>
      </c>
      <c r="N38" s="408" t="s">
        <v>36</v>
      </c>
      <c r="O38" s="408" t="s">
        <v>36</v>
      </c>
      <c r="P38" s="408" t="s">
        <v>36</v>
      </c>
      <c r="Q38" s="408" t="s">
        <v>36</v>
      </c>
      <c r="R38" s="408" t="s">
        <v>36</v>
      </c>
      <c r="S38" s="418"/>
      <c r="T38" s="418"/>
      <c r="U38" s="24"/>
    </row>
    <row r="39" spans="1:21">
      <c r="A39" s="1">
        <v>1995</v>
      </c>
      <c r="B39" s="408">
        <v>1.012</v>
      </c>
      <c r="C39" s="408">
        <v>1.014</v>
      </c>
      <c r="D39" s="408">
        <v>1.0129999999999999</v>
      </c>
      <c r="E39" s="408">
        <v>1.0109999999999999</v>
      </c>
      <c r="F39" s="408">
        <v>1.014</v>
      </c>
      <c r="G39" s="408">
        <v>1.008</v>
      </c>
      <c r="H39" s="408">
        <v>1.008</v>
      </c>
      <c r="I39" s="408" t="s">
        <v>36</v>
      </c>
      <c r="J39" s="408" t="s">
        <v>36</v>
      </c>
      <c r="K39" s="408" t="s">
        <v>36</v>
      </c>
      <c r="L39" s="408" t="s">
        <v>36</v>
      </c>
      <c r="M39" s="408" t="s">
        <v>36</v>
      </c>
      <c r="N39" s="408" t="s">
        <v>36</v>
      </c>
      <c r="O39" s="408" t="s">
        <v>36</v>
      </c>
      <c r="P39" s="408" t="s">
        <v>36</v>
      </c>
      <c r="Q39" s="408" t="s">
        <v>36</v>
      </c>
      <c r="R39" s="408" t="s">
        <v>36</v>
      </c>
      <c r="S39" s="418"/>
      <c r="T39" s="418"/>
      <c r="U39" s="24"/>
    </row>
    <row r="40" spans="1:21">
      <c r="A40" s="1">
        <v>1996</v>
      </c>
      <c r="B40" s="408">
        <v>1.0129999999999999</v>
      </c>
      <c r="C40" s="408">
        <v>1.0129999999999999</v>
      </c>
      <c r="D40" s="408">
        <v>1.01</v>
      </c>
      <c r="E40" s="408">
        <v>1.008</v>
      </c>
      <c r="F40" s="408">
        <v>1.008</v>
      </c>
      <c r="G40" s="408">
        <v>1.0109999999999999</v>
      </c>
      <c r="H40" s="408" t="s">
        <v>36</v>
      </c>
      <c r="I40" s="408" t="s">
        <v>36</v>
      </c>
      <c r="J40" s="408" t="s">
        <v>36</v>
      </c>
      <c r="K40" s="408" t="s">
        <v>36</v>
      </c>
      <c r="L40" s="408" t="s">
        <v>36</v>
      </c>
      <c r="M40" s="408" t="s">
        <v>36</v>
      </c>
      <c r="N40" s="408" t="s">
        <v>36</v>
      </c>
      <c r="O40" s="408" t="s">
        <v>36</v>
      </c>
      <c r="P40" s="408" t="s">
        <v>36</v>
      </c>
      <c r="Q40" s="408" t="s">
        <v>36</v>
      </c>
      <c r="R40" s="408" t="s">
        <v>36</v>
      </c>
      <c r="S40" s="418"/>
      <c r="T40" s="418"/>
      <c r="U40" s="24"/>
    </row>
    <row r="41" spans="1:21">
      <c r="A41" s="1">
        <v>1997</v>
      </c>
      <c r="B41" s="408">
        <v>1.012</v>
      </c>
      <c r="C41" s="408">
        <v>1.01</v>
      </c>
      <c r="D41" s="408">
        <v>1.0069999999999999</v>
      </c>
      <c r="E41" s="408">
        <v>1.0069999999999999</v>
      </c>
      <c r="F41" s="408">
        <v>1.008</v>
      </c>
      <c r="G41" s="408" t="s">
        <v>36</v>
      </c>
      <c r="H41" s="408" t="s">
        <v>36</v>
      </c>
      <c r="I41" s="408" t="s">
        <v>36</v>
      </c>
      <c r="J41" s="408" t="s">
        <v>36</v>
      </c>
      <c r="K41" s="408" t="s">
        <v>36</v>
      </c>
      <c r="L41" s="408" t="s">
        <v>36</v>
      </c>
      <c r="M41" s="408" t="s">
        <v>36</v>
      </c>
      <c r="N41" s="408" t="s">
        <v>36</v>
      </c>
      <c r="O41" s="408" t="s">
        <v>36</v>
      </c>
      <c r="P41" s="408" t="s">
        <v>36</v>
      </c>
      <c r="Q41" s="408" t="s">
        <v>36</v>
      </c>
      <c r="R41" s="408" t="s">
        <v>36</v>
      </c>
      <c r="S41" s="418"/>
      <c r="T41" s="418"/>
      <c r="U41" s="24"/>
    </row>
    <row r="42" spans="1:21">
      <c r="A42" s="1">
        <v>1998</v>
      </c>
      <c r="B42" s="408">
        <v>1.0129999999999999</v>
      </c>
      <c r="C42" s="408">
        <v>1.01</v>
      </c>
      <c r="D42" s="408">
        <v>1.008</v>
      </c>
      <c r="E42" s="408">
        <v>1.01</v>
      </c>
      <c r="F42" s="408" t="s">
        <v>36</v>
      </c>
      <c r="G42" s="408" t="s">
        <v>36</v>
      </c>
      <c r="H42" s="408" t="s">
        <v>36</v>
      </c>
      <c r="I42" s="408" t="s">
        <v>36</v>
      </c>
      <c r="J42" s="408" t="s">
        <v>36</v>
      </c>
      <c r="K42" s="408" t="s">
        <v>36</v>
      </c>
      <c r="L42" s="408" t="s">
        <v>36</v>
      </c>
      <c r="M42" s="408" t="s">
        <v>36</v>
      </c>
      <c r="N42" s="408" t="s">
        <v>36</v>
      </c>
      <c r="O42" s="408" t="s">
        <v>36</v>
      </c>
      <c r="P42" s="408" t="s">
        <v>36</v>
      </c>
      <c r="Q42" s="408" t="s">
        <v>36</v>
      </c>
      <c r="R42" s="408" t="s">
        <v>36</v>
      </c>
      <c r="S42" s="418"/>
      <c r="T42" s="418"/>
      <c r="U42" s="24"/>
    </row>
    <row r="43" spans="1:21">
      <c r="A43" s="1">
        <v>1999</v>
      </c>
      <c r="B43" s="408">
        <v>1.012</v>
      </c>
      <c r="C43" s="408">
        <v>1.0089999999999999</v>
      </c>
      <c r="D43" s="408">
        <v>1.01</v>
      </c>
      <c r="E43" s="408" t="s">
        <v>36</v>
      </c>
      <c r="F43" s="408" t="s">
        <v>36</v>
      </c>
      <c r="G43" s="408" t="s">
        <v>36</v>
      </c>
      <c r="H43" s="408" t="s">
        <v>36</v>
      </c>
      <c r="I43" s="408" t="s">
        <v>36</v>
      </c>
      <c r="J43" s="408" t="s">
        <v>36</v>
      </c>
      <c r="K43" s="408" t="s">
        <v>36</v>
      </c>
      <c r="L43" s="408" t="s">
        <v>36</v>
      </c>
      <c r="M43" s="408" t="s">
        <v>36</v>
      </c>
      <c r="N43" s="408" t="s">
        <v>36</v>
      </c>
      <c r="O43" s="408" t="s">
        <v>36</v>
      </c>
      <c r="P43" s="408" t="s">
        <v>36</v>
      </c>
      <c r="Q43" s="408" t="s">
        <v>36</v>
      </c>
      <c r="R43" s="408" t="s">
        <v>36</v>
      </c>
      <c r="S43" s="418"/>
      <c r="T43" s="418"/>
      <c r="U43" s="24"/>
    </row>
    <row r="44" spans="1:21">
      <c r="A44" s="1">
        <v>2000</v>
      </c>
      <c r="B44" s="408">
        <v>1.008</v>
      </c>
      <c r="C44" s="408">
        <v>1.008</v>
      </c>
      <c r="D44" s="408" t="s">
        <v>36</v>
      </c>
      <c r="E44" s="408" t="s">
        <v>36</v>
      </c>
      <c r="F44" s="408" t="s">
        <v>36</v>
      </c>
      <c r="G44" s="408" t="s">
        <v>36</v>
      </c>
      <c r="H44" s="408" t="s">
        <v>36</v>
      </c>
      <c r="I44" s="408" t="s">
        <v>36</v>
      </c>
      <c r="J44" s="408" t="s">
        <v>36</v>
      </c>
      <c r="K44" s="408" t="s">
        <v>36</v>
      </c>
      <c r="L44" s="408" t="s">
        <v>36</v>
      </c>
      <c r="M44" s="408" t="s">
        <v>36</v>
      </c>
      <c r="N44" s="408" t="s">
        <v>36</v>
      </c>
      <c r="O44" s="408" t="s">
        <v>36</v>
      </c>
      <c r="P44" s="408" t="s">
        <v>36</v>
      </c>
      <c r="Q44" s="408" t="s">
        <v>36</v>
      </c>
      <c r="R44" s="408" t="s">
        <v>36</v>
      </c>
      <c r="S44" s="418"/>
      <c r="T44" s="418"/>
      <c r="U44" s="24"/>
    </row>
    <row r="45" spans="1:21">
      <c r="A45" s="1">
        <v>2001</v>
      </c>
      <c r="B45" s="408">
        <v>1.0109999999999999</v>
      </c>
      <c r="C45" s="408" t="s">
        <v>36</v>
      </c>
      <c r="D45" s="408" t="s">
        <v>36</v>
      </c>
      <c r="E45" s="408" t="s">
        <v>36</v>
      </c>
      <c r="F45" s="408" t="s">
        <v>36</v>
      </c>
      <c r="G45" s="408" t="s">
        <v>36</v>
      </c>
      <c r="H45" s="408" t="s">
        <v>36</v>
      </c>
      <c r="I45" s="408" t="s">
        <v>36</v>
      </c>
      <c r="J45" s="408" t="s">
        <v>36</v>
      </c>
      <c r="K45" s="408" t="s">
        <v>36</v>
      </c>
      <c r="L45" s="408" t="s">
        <v>36</v>
      </c>
      <c r="M45" s="408" t="s">
        <v>36</v>
      </c>
      <c r="N45" s="408" t="s">
        <v>36</v>
      </c>
      <c r="O45" s="408" t="s">
        <v>36</v>
      </c>
      <c r="P45" s="408" t="s">
        <v>36</v>
      </c>
      <c r="Q45" s="408" t="s">
        <v>36</v>
      </c>
      <c r="R45" s="408" t="s">
        <v>36</v>
      </c>
      <c r="S45" s="418"/>
      <c r="T45" s="418"/>
      <c r="U45" s="24"/>
    </row>
    <row r="46" spans="1:21">
      <c r="A46" s="30"/>
      <c r="B46" s="23"/>
      <c r="C46" s="13"/>
      <c r="D46" s="23"/>
      <c r="E46" s="23"/>
      <c r="F46" s="23"/>
      <c r="G46" s="23"/>
      <c r="H46" s="23"/>
      <c r="I46" s="23"/>
      <c r="J46" s="23"/>
      <c r="K46" s="23"/>
      <c r="L46" s="23"/>
      <c r="M46" s="23"/>
      <c r="N46" s="23"/>
      <c r="O46" s="23"/>
      <c r="P46" s="23"/>
      <c r="Q46" s="13"/>
      <c r="R46" s="13"/>
      <c r="S46" s="23"/>
      <c r="T46" s="23"/>
      <c r="U46" s="24"/>
    </row>
    <row r="47" spans="1:21">
      <c r="A47" s="1" t="s">
        <v>38</v>
      </c>
      <c r="B47" s="13">
        <f>AVERAGE(B43:B45)</f>
        <v>1.0103333333333333</v>
      </c>
      <c r="C47" s="13">
        <f>AVERAGE(C42:C44)</f>
        <v>1.0090000000000001</v>
      </c>
      <c r="D47" s="13">
        <f>AVERAGE(D41:D43)</f>
        <v>1.0083333333333331</v>
      </c>
      <c r="E47" s="13">
        <f>AVERAGE(E40:E42)</f>
        <v>1.0083333333333331</v>
      </c>
      <c r="F47" s="13">
        <f>AVERAGE(F39:F41)</f>
        <v>1.01</v>
      </c>
      <c r="G47" s="13">
        <f>AVERAGE(G38:G40)</f>
        <v>1.0093333333333332</v>
      </c>
      <c r="H47" s="13">
        <f>AVERAGE(H37:H39)</f>
        <v>1.0066666666666666</v>
      </c>
      <c r="I47" s="13">
        <f>AVERAGE(I36:I38)</f>
        <v>1.0053333333333332</v>
      </c>
      <c r="J47" s="13">
        <f>AVERAGE(J35:J37)</f>
        <v>1.006</v>
      </c>
      <c r="K47" s="13">
        <f>AVERAGE(K34:K36)</f>
        <v>1.0039999999999998</v>
      </c>
      <c r="L47" s="13">
        <f>AVERAGE(L33:L35)</f>
        <v>1.0033333333333332</v>
      </c>
      <c r="M47" s="13">
        <f>AVERAGE(M32:M34)</f>
        <v>1.0029999999999999</v>
      </c>
      <c r="N47" s="13">
        <f>AVERAGE(N31:N33)</f>
        <v>1.0033333333333332</v>
      </c>
      <c r="O47" s="13">
        <f>AVERAGE(O30:O32)</f>
        <v>1.0043333333333333</v>
      </c>
      <c r="P47" s="13">
        <f>AVERAGE(P29:P31)</f>
        <v>1.004</v>
      </c>
      <c r="Q47" s="13">
        <f>AVERAGE(Q28:Q30)</f>
        <v>1.0026666666666666</v>
      </c>
      <c r="R47" s="13">
        <f>AVERAGE(R27:R29)</f>
        <v>1.0023333333333333</v>
      </c>
      <c r="S47" s="23">
        <f>AVERAGE(S27:S32)</f>
        <v>1.0269999999999999</v>
      </c>
      <c r="T47" s="23"/>
      <c r="U47" s="24"/>
    </row>
    <row r="48" spans="1:21">
      <c r="A48" s="12" t="s">
        <v>21</v>
      </c>
      <c r="B48" s="13">
        <f t="shared" ref="B48:P48" si="1">B47*C48</f>
        <v>1.1678985628771461</v>
      </c>
      <c r="C48" s="13">
        <f t="shared" si="1"/>
        <v>1.1559537078955586</v>
      </c>
      <c r="D48" s="13">
        <f t="shared" si="1"/>
        <v>1.1456429216011481</v>
      </c>
      <c r="E48" s="13">
        <f t="shared" si="1"/>
        <v>1.1361747982821306</v>
      </c>
      <c r="F48" s="13">
        <f t="shared" si="1"/>
        <v>1.1267849239161629</v>
      </c>
      <c r="G48" s="13">
        <f t="shared" si="1"/>
        <v>1.1156286375407554</v>
      </c>
      <c r="H48" s="13">
        <f t="shared" si="1"/>
        <v>1.1053123885806693</v>
      </c>
      <c r="I48" s="13">
        <f t="shared" si="1"/>
        <v>1.0979924389874198</v>
      </c>
      <c r="J48" s="13">
        <f t="shared" si="1"/>
        <v>1.09216754541189</v>
      </c>
      <c r="K48" s="13">
        <f t="shared" si="1"/>
        <v>1.0856536236698708</v>
      </c>
      <c r="L48" s="13">
        <f t="shared" si="1"/>
        <v>1.0813283104281584</v>
      </c>
      <c r="M48" s="13">
        <f t="shared" si="1"/>
        <v>1.0777358575695932</v>
      </c>
      <c r="N48" s="13">
        <f t="shared" si="1"/>
        <v>1.07451232060777</v>
      </c>
      <c r="O48" s="13">
        <f t="shared" si="1"/>
        <v>1.070942512233658</v>
      </c>
      <c r="P48" s="13">
        <f t="shared" si="1"/>
        <v>1.066321784500821</v>
      </c>
      <c r="Q48" s="13">
        <f>Q47*R48</f>
        <v>1.0620734905386664</v>
      </c>
      <c r="R48" s="13">
        <f>R47*S47*T48</f>
        <v>1.0592488269999998</v>
      </c>
      <c r="S48" s="23"/>
      <c r="T48" s="23">
        <f>'Exhibit 2.2.2'!S27</f>
        <v>1.0289999999999999</v>
      </c>
      <c r="U48" s="8"/>
    </row>
    <row r="49" spans="1:21">
      <c r="A49" s="14"/>
      <c r="B49" s="13"/>
      <c r="C49" s="13"/>
      <c r="D49" s="13"/>
      <c r="E49" s="13"/>
      <c r="F49" s="13"/>
      <c r="G49" s="13"/>
      <c r="H49" s="13"/>
      <c r="I49" s="13"/>
      <c r="J49" s="13"/>
      <c r="K49" s="13"/>
      <c r="L49" s="13"/>
      <c r="M49" s="13"/>
      <c r="N49" s="13"/>
      <c r="O49" s="13"/>
      <c r="P49" s="13"/>
      <c r="Q49" s="13"/>
      <c r="R49" s="13"/>
      <c r="S49" s="13"/>
      <c r="T49" s="13"/>
      <c r="U49" s="8"/>
    </row>
    <row r="50" spans="1:21">
      <c r="A50" s="14"/>
      <c r="B50" s="13"/>
      <c r="C50" s="255"/>
      <c r="D50" s="255"/>
      <c r="E50" s="255"/>
      <c r="F50" s="255"/>
      <c r="G50" s="255"/>
      <c r="H50" s="255"/>
      <c r="I50" s="255"/>
      <c r="J50" s="255"/>
      <c r="K50" s="255"/>
      <c r="L50" s="255"/>
      <c r="M50" s="255"/>
      <c r="N50" s="255"/>
      <c r="O50" s="255"/>
      <c r="P50" s="13"/>
      <c r="Q50" s="13"/>
      <c r="R50" s="13"/>
      <c r="S50" s="13"/>
      <c r="T50" s="13"/>
      <c r="U50" s="8"/>
    </row>
    <row r="51" spans="1:21">
      <c r="A51" s="31" t="s">
        <v>41</v>
      </c>
      <c r="B51" s="514" t="s">
        <v>474</v>
      </c>
      <c r="C51" s="514"/>
      <c r="D51" s="514"/>
      <c r="E51" s="514"/>
      <c r="F51" s="514"/>
      <c r="G51" s="514"/>
      <c r="H51" s="514"/>
      <c r="I51" s="514"/>
      <c r="J51" s="514"/>
      <c r="K51" s="514"/>
      <c r="L51" s="514"/>
      <c r="M51" s="514"/>
      <c r="N51" s="514"/>
      <c r="O51" s="514"/>
      <c r="P51" s="514"/>
      <c r="Q51" s="514"/>
      <c r="R51" s="371"/>
      <c r="S51" s="250"/>
      <c r="T51" s="250"/>
      <c r="U51" s="250"/>
    </row>
    <row r="52" spans="1:21" ht="27" customHeight="1">
      <c r="A52" s="31" t="s">
        <v>44</v>
      </c>
      <c r="B52" s="539" t="s">
        <v>425</v>
      </c>
      <c r="C52" s="540"/>
      <c r="D52" s="540"/>
      <c r="E52" s="540"/>
      <c r="F52" s="540"/>
      <c r="G52" s="540"/>
      <c r="H52" s="540"/>
      <c r="I52" s="540"/>
      <c r="J52" s="540"/>
      <c r="K52" s="540"/>
      <c r="L52" s="540"/>
      <c r="M52" s="540"/>
      <c r="N52" s="540"/>
      <c r="O52" s="540"/>
      <c r="P52" s="540"/>
      <c r="Q52" s="540"/>
      <c r="R52" s="374"/>
      <c r="S52" s="266"/>
      <c r="T52" s="252"/>
      <c r="U52" s="252"/>
    </row>
    <row r="53" spans="1:21" ht="15">
      <c r="B53" s="267"/>
      <c r="C53" s="267"/>
      <c r="D53" s="267"/>
      <c r="E53" s="267"/>
      <c r="F53" s="267"/>
      <c r="G53" s="267"/>
      <c r="H53" s="267"/>
      <c r="I53" s="267"/>
      <c r="J53" s="267"/>
      <c r="K53" s="267"/>
      <c r="L53" s="267"/>
      <c r="M53" s="267"/>
      <c r="N53" s="267"/>
      <c r="O53" s="267"/>
      <c r="P53" s="267"/>
      <c r="Q53" s="267"/>
      <c r="R53" s="372"/>
      <c r="S53" s="267"/>
      <c r="T53" s="267"/>
    </row>
  </sheetData>
  <mergeCells count="5">
    <mergeCell ref="B51:Q51"/>
    <mergeCell ref="B52:Q52"/>
    <mergeCell ref="B25:T25"/>
    <mergeCell ref="B3:T3"/>
    <mergeCell ref="A1:T1"/>
  </mergeCells>
  <pageMargins left="0.7" right="0.7" top="0.75" bottom="0.75" header="0.3" footer="0.3"/>
  <pageSetup scale="62" orientation="landscape" horizontalDpi="1200" verticalDpi="120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30</vt:i4>
      </vt:variant>
      <vt:variant>
        <vt:lpstr>Named Ranges</vt:lpstr>
      </vt:variant>
      <vt:variant>
        <vt:i4>19</vt:i4>
      </vt:variant>
    </vt:vector>
  </HeadingPairs>
  <TitlesOfParts>
    <vt:vector size="49" baseType="lpstr">
      <vt:lpstr>Exhibit 1</vt:lpstr>
      <vt:lpstr>Exhibit 2.1.1</vt:lpstr>
      <vt:lpstr>Exhibit 2.1.2</vt:lpstr>
      <vt:lpstr>Exhibit 2.2.1</vt:lpstr>
      <vt:lpstr>Exhibit 2.2.2</vt:lpstr>
      <vt:lpstr>Exhibit 2.3.1</vt:lpstr>
      <vt:lpstr>Exhibit 2.3.2</vt:lpstr>
      <vt:lpstr>Exhibit 2.4.1</vt:lpstr>
      <vt:lpstr>Exhibit 2.4.2</vt:lpstr>
      <vt:lpstr>Exhibit 2.5.1</vt:lpstr>
      <vt:lpstr>Exhibit 2.5.2</vt:lpstr>
      <vt:lpstr>Exhibits 2.5.3 - 2.5.8</vt:lpstr>
      <vt:lpstr>Exhibit 2.6.1</vt:lpstr>
      <vt:lpstr>Exhibit 2.6.2</vt:lpstr>
      <vt:lpstr>Exhibits 2.6.3 - 2.6.8</vt:lpstr>
      <vt:lpstr>Exhibit 3.1</vt:lpstr>
      <vt:lpstr>Exhibit 3.2</vt:lpstr>
      <vt:lpstr>Exhibit 4.1</vt:lpstr>
      <vt:lpstr>Exhibit 4.2</vt:lpstr>
      <vt:lpstr>Exhibit 4.3</vt:lpstr>
      <vt:lpstr>Exhibit 4.4</vt:lpstr>
      <vt:lpstr>Exhibit 5.1</vt:lpstr>
      <vt:lpstr>Exhibit 5.2</vt:lpstr>
      <vt:lpstr>Exhibit 6.1</vt:lpstr>
      <vt:lpstr>Exhibit 6.2</vt:lpstr>
      <vt:lpstr>Exhibit 6.3</vt:lpstr>
      <vt:lpstr>Exhibit 6.4</vt:lpstr>
      <vt:lpstr>Exhibit 7.1</vt:lpstr>
      <vt:lpstr>Exhibit 7.3</vt:lpstr>
      <vt:lpstr>Exhibit 8</vt:lpstr>
      <vt:lpstr>'Exhibit 1'!Print_Area</vt:lpstr>
      <vt:lpstr>'Exhibit 2.4.1'!Print_Area</vt:lpstr>
      <vt:lpstr>'Exhibit 2.5.1'!Print_Area</vt:lpstr>
      <vt:lpstr>'Exhibit 2.6.1'!Print_Area</vt:lpstr>
      <vt:lpstr>'Exhibit 3.1'!Print_Area</vt:lpstr>
      <vt:lpstr>'Exhibit 3.2'!Print_Area</vt:lpstr>
      <vt:lpstr>'Exhibit 4.1'!Print_Area</vt:lpstr>
      <vt:lpstr>'Exhibit 4.2'!Print_Area</vt:lpstr>
      <vt:lpstr>'Exhibit 4.3'!Print_Area</vt:lpstr>
      <vt:lpstr>'Exhibit 4.4'!Print_Area</vt:lpstr>
      <vt:lpstr>'Exhibit 5.1'!Print_Area</vt:lpstr>
      <vt:lpstr>'Exhibit 5.2'!Print_Area</vt:lpstr>
      <vt:lpstr>'Exhibit 6.1'!Print_Area</vt:lpstr>
      <vt:lpstr>'Exhibit 6.4'!Print_Area</vt:lpstr>
      <vt:lpstr>'Exhibit 7.1'!Print_Area</vt:lpstr>
      <vt:lpstr>'Exhibit 7.3'!Print_Area</vt:lpstr>
      <vt:lpstr>'Exhibit 8'!Print_Area</vt:lpstr>
      <vt:lpstr>'Exhibits 2.5.3 - 2.5.8'!Print_Area</vt:lpstr>
      <vt:lpstr>'Exhibits 2.6.3 - 2.6.8'!Print_Area</vt:lpstr>
    </vt:vector>
  </TitlesOfParts>
  <Company>WCIRB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M. Wong</dc:creator>
  <cp:lastModifiedBy>Tony Milano</cp:lastModifiedBy>
  <cp:lastPrinted>2019-08-15T16:58:29Z</cp:lastPrinted>
  <dcterms:created xsi:type="dcterms:W3CDTF">2016-01-21T17:50:16Z</dcterms:created>
  <dcterms:modified xsi:type="dcterms:W3CDTF">2019-09-16T22:23:53Z</dcterms:modified>
</cp:coreProperties>
</file>