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I:\AC1000R\Dec21\9-1-22 Filing\Hardcoded Excel Version\"/>
    </mc:Choice>
  </mc:AlternateContent>
  <xr:revisionPtr revIDLastSave="0" documentId="13_ncr:1_{11CB0DB2-38FE-4771-9383-30B6A24DBADF}" xr6:coauthVersionLast="47" xr6:coauthVersionMax="47" xr10:uidLastSave="{00000000-0000-0000-0000-000000000000}"/>
  <bookViews>
    <workbookView xWindow="-120" yWindow="-120" windowWidth="29040" windowHeight="15840" tabRatio="834" xr2:uid="{00000000-000D-0000-FFFF-FFFF00000000}"/>
  </bookViews>
  <sheets>
    <sheet name="Exhibit 1" sheetId="1" r:id="rId1"/>
    <sheet name="Exhibit 2.1.1" sheetId="2" r:id="rId2"/>
    <sheet name="Exhibit 2.1.2" sheetId="19" r:id="rId3"/>
    <sheet name="Exhibit 2.2.1" sheetId="10" r:id="rId4"/>
    <sheet name="Exhibit 2.2.2" sheetId="20" r:id="rId5"/>
    <sheet name="Exhibit 2.3.1" sheetId="11" r:id="rId6"/>
    <sheet name="Exhibit 2.3.2" sheetId="21" r:id="rId7"/>
    <sheet name="Exhibit 2.4.1" sheetId="12" r:id="rId8"/>
    <sheet name="Exhibit 2.4.2" sheetId="15" r:id="rId9"/>
    <sheet name="Exhibit 2.5.1" sheetId="13" r:id="rId10"/>
    <sheet name="Exhibit 2.5.2" sheetId="14" r:id="rId11"/>
    <sheet name="Exhibits 2.5.3 - 2.5.8" sheetId="43" r:id="rId12"/>
    <sheet name="Exhibits 2.5.9 - 2.5.12" sheetId="42" r:id="rId13"/>
    <sheet name="Exhibit 2.6.1" sheetId="16" r:id="rId14"/>
    <sheet name="Exhibit 2.6.2" sheetId="17" r:id="rId15"/>
    <sheet name="Exhibits 2.6.3 - 2.6.8" sheetId="44" r:id="rId16"/>
    <sheet name="Exhibit 3.1" sheetId="3" r:id="rId17"/>
    <sheet name="Exhibit 3.2" sheetId="18" r:id="rId18"/>
    <sheet name="Exhibit 4.1" sheetId="4" r:id="rId19"/>
    <sheet name="Exhibit 4.2" sheetId="22" r:id="rId20"/>
    <sheet name="Exhibit 4.3" sheetId="23" r:id="rId21"/>
    <sheet name="Exhibit 4.4" sheetId="24" r:id="rId22"/>
    <sheet name="Exhibit 5.1" sheetId="5" r:id="rId23"/>
    <sheet name="Exhibit 5.2" sheetId="25" r:id="rId24"/>
    <sheet name="Exhibit 6.1" sheetId="6" r:id="rId25"/>
    <sheet name="Exhibit 6.2" sheetId="26" r:id="rId26"/>
    <sheet name="Exhibit 6.3" sheetId="27" r:id="rId27"/>
    <sheet name="Exhibit 6.4" sheetId="28" r:id="rId28"/>
    <sheet name="Exhibit 7.1" sheetId="7" r:id="rId29"/>
    <sheet name="Exhibit 7.3" sheetId="29" r:id="rId30"/>
    <sheet name="Exhibit 8" sheetId="8" r:id="rId31"/>
  </sheets>
  <definedNames>
    <definedName name="_xlnm.Print_Area" localSheetId="0">'Exhibit 1'!$A$1:$I$45</definedName>
    <definedName name="_xlnm.Print_Area" localSheetId="6">'Exhibit 2.3.2'!$A$1:$V$33</definedName>
    <definedName name="_xlnm.Print_Area" localSheetId="7">'Exhibit 2.4.1'!$A$1:$Q$64</definedName>
    <definedName name="_xlnm.Print_Area" localSheetId="9">'Exhibit 2.5.1'!$A$1:$V$37</definedName>
    <definedName name="_xlnm.Print_Area" localSheetId="10">'Exhibit 2.5.2'!$A$1:$Q$30</definedName>
    <definedName name="_xlnm.Print_Area" localSheetId="13">'Exhibit 2.6.1'!$A$1:$V$44</definedName>
    <definedName name="_xlnm.Print_Area" localSheetId="16">'Exhibit 3.1'!$A$1:$G$47</definedName>
    <definedName name="_xlnm.Print_Area" localSheetId="17">'Exhibit 3.2'!$A$1:$H$51</definedName>
    <definedName name="_xlnm.Print_Area" localSheetId="18">'Exhibit 4.1'!$A$1:$M$52</definedName>
    <definedName name="_xlnm.Print_Area" localSheetId="19">'Exhibit 4.2'!$A$1:$M$52</definedName>
    <definedName name="_xlnm.Print_Area" localSheetId="20">'Exhibit 4.3'!$A$1:$H$49</definedName>
    <definedName name="_xlnm.Print_Area" localSheetId="21">'Exhibit 4.4'!$A$1:$I$51</definedName>
    <definedName name="_xlnm.Print_Area" localSheetId="22">'Exhibit 5.1'!$A$1:$G$53</definedName>
    <definedName name="_xlnm.Print_Area" localSheetId="23">'Exhibit 5.2'!$A$1:$S$61</definedName>
    <definedName name="_xlnm.Print_Area" localSheetId="24">'Exhibit 6.1'!$A$1:$H$77</definedName>
    <definedName name="_xlnm.Print_Area" localSheetId="27">'Exhibit 6.4'!$A$1:$Q$43</definedName>
    <definedName name="_xlnm.Print_Area" localSheetId="28">'Exhibit 7.1'!$A$1:$J$54</definedName>
    <definedName name="_xlnm.Print_Area" localSheetId="29">'Exhibit 7.3'!$A$1:$I$55</definedName>
    <definedName name="_xlnm.Print_Area" localSheetId="30">'Exhibit 8'!$A$1:$O$22</definedName>
    <definedName name="_xlnm.Print_Area" localSheetId="11">'Exhibits 2.5.3 - 2.5.8'!$A$1:$L$343</definedName>
    <definedName name="_xlnm.Print_Area" localSheetId="12">'Exhibits 2.5.9 - 2.5.12'!$A$1:$M$225</definedName>
    <definedName name="_xlnm.Print_Area" localSheetId="15">'Exhibits 2.6.3 - 2.6.8'!$A$1:$L$349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5" i="7" l="1"/>
  <c r="K46" i="7"/>
  <c r="G44" i="5"/>
  <c r="I39" i="1"/>
  <c r="K186" i="42"/>
  <c r="J186" i="42"/>
  <c r="I186" i="42"/>
  <c r="H186" i="42"/>
  <c r="G186" i="42"/>
  <c r="F186" i="42"/>
  <c r="E186" i="42"/>
  <c r="D186" i="42"/>
  <c r="C186" i="42"/>
  <c r="K187" i="42"/>
  <c r="J187" i="42"/>
  <c r="I187" i="42"/>
  <c r="H187" i="42"/>
  <c r="G187" i="42"/>
  <c r="F187" i="42"/>
  <c r="E187" i="42"/>
  <c r="D187" i="42"/>
  <c r="C187" i="42"/>
  <c r="E11" i="42"/>
  <c r="D11" i="42"/>
  <c r="C20" i="44"/>
  <c r="I29" i="16"/>
  <c r="H29" i="16"/>
  <c r="F11" i="42" l="1"/>
  <c r="G11" i="42" l="1"/>
  <c r="H11" i="42" l="1"/>
  <c r="I11" i="42" l="1"/>
  <c r="J11" i="42" l="1"/>
  <c r="K11" i="42" l="1"/>
  <c r="L11" i="42" l="1"/>
  <c r="A49" i="7" l="1"/>
  <c r="O16" i="8" l="1"/>
  <c r="E42" i="29"/>
  <c r="A42" i="29"/>
  <c r="A41" i="29"/>
  <c r="A40" i="7"/>
  <c r="A41" i="7" s="1"/>
  <c r="L45" i="7"/>
  <c r="L49" i="7"/>
  <c r="L48" i="7"/>
  <c r="L47" i="7"/>
  <c r="P34" i="28"/>
  <c r="P33" i="28"/>
  <c r="H34" i="28"/>
  <c r="H33" i="28"/>
  <c r="A34" i="28"/>
  <c r="A33" i="28"/>
  <c r="J29" i="28"/>
  <c r="N29" i="28" s="1"/>
  <c r="P29" i="28" s="1"/>
  <c r="J28" i="28"/>
  <c r="N28" i="28" s="1"/>
  <c r="J27" i="28"/>
  <c r="N27" i="28" s="1"/>
  <c r="H29" i="28"/>
  <c r="H28" i="28"/>
  <c r="H27" i="28"/>
  <c r="F29" i="28"/>
  <c r="F28" i="28"/>
  <c r="F27" i="28"/>
  <c r="D29" i="28"/>
  <c r="D28" i="28"/>
  <c r="D27" i="28"/>
  <c r="A27" i="28"/>
  <c r="A28" i="28" s="1"/>
  <c r="A29" i="28" s="1"/>
  <c r="I45" i="26"/>
  <c r="I44" i="26"/>
  <c r="I43" i="26"/>
  <c r="J40" i="27"/>
  <c r="J39" i="27"/>
  <c r="J38" i="27"/>
  <c r="F41" i="27"/>
  <c r="F40" i="27"/>
  <c r="F39" i="27"/>
  <c r="B41" i="27"/>
  <c r="B40" i="27"/>
  <c r="B39" i="27"/>
  <c r="L45" i="26"/>
  <c r="L44" i="26"/>
  <c r="J41" i="26"/>
  <c r="L41" i="26" s="1"/>
  <c r="L40" i="26"/>
  <c r="J40" i="26"/>
  <c r="F41" i="26"/>
  <c r="F40" i="26"/>
  <c r="B39" i="26"/>
  <c r="B40" i="26" s="1"/>
  <c r="B41" i="26" s="1"/>
  <c r="A3" i="8"/>
  <c r="A3" i="29"/>
  <c r="A3" i="7"/>
  <c r="A3" i="28"/>
  <c r="A2" i="27"/>
  <c r="A2" i="26"/>
  <c r="O45" i="25"/>
  <c r="O44" i="25"/>
  <c r="O43" i="25"/>
  <c r="I45" i="25"/>
  <c r="I44" i="25"/>
  <c r="I43" i="25"/>
  <c r="C45" i="25"/>
  <c r="A45" i="25"/>
  <c r="A44" i="25"/>
  <c r="A43" i="25"/>
  <c r="A42" i="5"/>
  <c r="A43" i="5" s="1"/>
  <c r="A44" i="5" s="1"/>
  <c r="I43" i="24"/>
  <c r="I42" i="24" s="1"/>
  <c r="A45" i="24"/>
  <c r="E45" i="24" s="1"/>
  <c r="A44" i="24"/>
  <c r="E44" i="24" s="1"/>
  <c r="A43" i="24"/>
  <c r="E43" i="24" s="1"/>
  <c r="G44" i="23"/>
  <c r="G43" i="23"/>
  <c r="G42" i="23"/>
  <c r="A44" i="23"/>
  <c r="A43" i="23"/>
  <c r="A42" i="23"/>
  <c r="L34" i="22"/>
  <c r="L42" i="22"/>
  <c r="D44" i="22"/>
  <c r="D43" i="22"/>
  <c r="J44" i="22" s="1"/>
  <c r="L44" i="22" s="1"/>
  <c r="D42" i="22"/>
  <c r="J43" i="22" s="1"/>
  <c r="L43" i="22" s="1"/>
  <c r="A44" i="22"/>
  <c r="A43" i="22"/>
  <c r="A42" i="22"/>
  <c r="L44" i="4"/>
  <c r="L43" i="4" s="1"/>
  <c r="L42" i="4" s="1"/>
  <c r="J45" i="4"/>
  <c r="J44" i="4"/>
  <c r="J43" i="4"/>
  <c r="B43" i="4"/>
  <c r="B44" i="4" s="1"/>
  <c r="B45" i="4" s="1"/>
  <c r="B46" i="18"/>
  <c r="B45" i="18"/>
  <c r="D45" i="18" s="1"/>
  <c r="B44" i="18"/>
  <c r="E22" i="3"/>
  <c r="E21" i="3"/>
  <c r="E20" i="3"/>
  <c r="E19" i="3"/>
  <c r="E18" i="3"/>
  <c r="E17" i="3"/>
  <c r="E16" i="3"/>
  <c r="E15" i="3"/>
  <c r="E14" i="3"/>
  <c r="E13" i="3"/>
  <c r="E12" i="3"/>
  <c r="E11" i="3"/>
  <c r="E10" i="3"/>
  <c r="E23" i="3"/>
  <c r="D22" i="3"/>
  <c r="D21" i="3"/>
  <c r="D20" i="3"/>
  <c r="D19" i="3"/>
  <c r="D18" i="3"/>
  <c r="D17" i="3"/>
  <c r="D16" i="3"/>
  <c r="D15" i="3"/>
  <c r="D14" i="3"/>
  <c r="D13" i="3"/>
  <c r="D12" i="3"/>
  <c r="D11" i="3"/>
  <c r="D10" i="3"/>
  <c r="D23" i="3"/>
  <c r="D44" i="3"/>
  <c r="C44" i="3"/>
  <c r="D43" i="3"/>
  <c r="C43" i="3"/>
  <c r="B42" i="3"/>
  <c r="B43" i="3" s="1"/>
  <c r="B44" i="3" s="1"/>
  <c r="I132" i="43"/>
  <c r="I133" i="43"/>
  <c r="H133" i="43"/>
  <c r="I130" i="44"/>
  <c r="H131" i="44"/>
  <c r="I131" i="44"/>
  <c r="P24" i="17"/>
  <c r="O24" i="17"/>
  <c r="N24" i="17"/>
  <c r="P26" i="17"/>
  <c r="O26" i="17" s="1"/>
  <c r="N26" i="17" s="1"/>
  <c r="A7" i="17"/>
  <c r="A6" i="17" s="1"/>
  <c r="A5" i="17" s="1"/>
  <c r="A21" i="17"/>
  <c r="A47" i="16"/>
  <c r="B157" i="42"/>
  <c r="B158" i="42"/>
  <c r="S45" i="25" l="1"/>
  <c r="E41" i="29"/>
  <c r="E41" i="7"/>
  <c r="A42" i="7"/>
  <c r="E40" i="7"/>
  <c r="L27" i="28"/>
  <c r="L28" i="28"/>
  <c r="L29" i="28"/>
  <c r="P28" i="28"/>
  <c r="C44" i="24"/>
  <c r="G44" i="24" s="1"/>
  <c r="C43" i="24"/>
  <c r="G43" i="24" s="1"/>
  <c r="C45" i="24"/>
  <c r="G45" i="24" s="1"/>
  <c r="E42" i="7" l="1"/>
  <c r="A43" i="7"/>
  <c r="A44" i="7" l="1"/>
  <c r="E43" i="7"/>
  <c r="G44" i="7" l="1"/>
  <c r="E44" i="7"/>
  <c r="P26" i="14" l="1"/>
  <c r="O26" i="14" s="1"/>
  <c r="N26" i="14" s="1"/>
  <c r="Q25" i="14"/>
  <c r="P24" i="14"/>
  <c r="O24" i="14"/>
  <c r="A7" i="14"/>
  <c r="A6" i="14"/>
  <c r="A5" i="14" s="1"/>
  <c r="A40" i="13"/>
  <c r="H32" i="13"/>
  <c r="I32" i="13"/>
  <c r="U53" i="15" l="1"/>
  <c r="T53" i="15"/>
  <c r="A7" i="15"/>
  <c r="A6" i="15" s="1"/>
  <c r="A5" i="15" l="1"/>
  <c r="A30" i="15" s="1"/>
  <c r="A31" i="15"/>
  <c r="A32" i="15"/>
  <c r="U29" i="21"/>
  <c r="T29" i="21"/>
  <c r="A7" i="21"/>
  <c r="A6" i="21" s="1"/>
  <c r="A5" i="21" s="1"/>
  <c r="U29" i="20"/>
  <c r="Q29" i="20"/>
  <c r="Q29" i="19"/>
  <c r="A7" i="20"/>
  <c r="A6" i="20"/>
  <c r="A5" i="20"/>
  <c r="T29" i="20"/>
  <c r="U29" i="19"/>
  <c r="T29" i="19"/>
  <c r="A8" i="19"/>
  <c r="A7" i="19" s="1"/>
  <c r="A6" i="19" s="1"/>
  <c r="A5" i="19" s="1"/>
  <c r="A39" i="1"/>
  <c r="A38" i="1" s="1"/>
  <c r="A37" i="1" s="1"/>
  <c r="A3" i="18"/>
  <c r="B100" i="42" l="1"/>
  <c r="B136" i="42" s="1"/>
  <c r="B135" i="42" s="1"/>
  <c r="B99" i="42" l="1"/>
  <c r="D40" i="44"/>
  <c r="E40" i="44" l="1"/>
  <c r="M45" i="29"/>
  <c r="L45" i="29"/>
  <c r="K45" i="29"/>
  <c r="M45" i="7"/>
  <c r="J41" i="27"/>
  <c r="L41" i="27" s="1"/>
  <c r="J37" i="27"/>
  <c r="F38" i="27"/>
  <c r="F37" i="27"/>
  <c r="J39" i="26"/>
  <c r="L39" i="26" s="1"/>
  <c r="J38" i="26"/>
  <c r="J37" i="26"/>
  <c r="F39" i="26"/>
  <c r="F38" i="26"/>
  <c r="G43" i="5"/>
  <c r="G42" i="5" l="1"/>
  <c r="C44" i="25"/>
  <c r="S44" i="25" s="1"/>
  <c r="G43" i="7" s="1"/>
  <c r="F40" i="44"/>
  <c r="L40" i="27"/>
  <c r="L39" i="27"/>
  <c r="L38" i="27"/>
  <c r="L38" i="26"/>
  <c r="G8" i="5"/>
  <c r="B12" i="18"/>
  <c r="B13" i="18"/>
  <c r="A13" i="18"/>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M26" i="17"/>
  <c r="L26" i="17" s="1"/>
  <c r="A20" i="17"/>
  <c r="A19" i="17" s="1"/>
  <c r="A18" i="17" s="1"/>
  <c r="A17" i="17" s="1"/>
  <c r="A16" i="17" s="1"/>
  <c r="A15" i="17" s="1"/>
  <c r="A14" i="17" s="1"/>
  <c r="A13" i="17" s="1"/>
  <c r="A12" i="17" s="1"/>
  <c r="A11" i="17" s="1"/>
  <c r="A10" i="17" s="1"/>
  <c r="A9" i="17" s="1"/>
  <c r="A8" i="17" s="1"/>
  <c r="I279" i="44"/>
  <c r="I318" i="44" s="1"/>
  <c r="I278" i="44"/>
  <c r="I317" i="44" s="1"/>
  <c r="H279" i="44"/>
  <c r="H318" i="44" s="1"/>
  <c r="J147" i="44"/>
  <c r="J146" i="44"/>
  <c r="J145" i="44"/>
  <c r="I147" i="44"/>
  <c r="I146" i="44"/>
  <c r="H147" i="44"/>
  <c r="J132" i="44"/>
  <c r="I133" i="44"/>
  <c r="H134" i="44"/>
  <c r="G135" i="44"/>
  <c r="F136" i="44"/>
  <c r="E137" i="44"/>
  <c r="D138" i="44"/>
  <c r="I343" i="44"/>
  <c r="H343" i="44"/>
  <c r="G343" i="44"/>
  <c r="F343" i="44"/>
  <c r="E343" i="44"/>
  <c r="D343" i="44"/>
  <c r="I342" i="44"/>
  <c r="H342" i="44"/>
  <c r="G342" i="44"/>
  <c r="F342" i="44"/>
  <c r="E342" i="44"/>
  <c r="D342" i="44"/>
  <c r="I341" i="44"/>
  <c r="G47" i="16" s="1"/>
  <c r="H341" i="44"/>
  <c r="F47" i="16" s="1"/>
  <c r="G341" i="44"/>
  <c r="E47" i="16" s="1"/>
  <c r="F341" i="44"/>
  <c r="D47" i="16" s="1"/>
  <c r="E341" i="44"/>
  <c r="C47" i="16" s="1"/>
  <c r="D341" i="44"/>
  <c r="B47" i="16" s="1"/>
  <c r="J41" i="44"/>
  <c r="I29" i="44"/>
  <c r="I36" i="44" s="1"/>
  <c r="I37" i="44" s="1"/>
  <c r="I41" i="44" s="1"/>
  <c r="I28" i="44"/>
  <c r="I27" i="44"/>
  <c r="H30" i="44"/>
  <c r="H36" i="44" s="1"/>
  <c r="H29" i="44"/>
  <c r="H28" i="44"/>
  <c r="G31" i="44"/>
  <c r="G36" i="44" s="1"/>
  <c r="G30" i="44"/>
  <c r="G29" i="44"/>
  <c r="F32" i="44"/>
  <c r="F36" i="44" s="1"/>
  <c r="F31" i="44"/>
  <c r="F30" i="44"/>
  <c r="E33" i="44"/>
  <c r="E36" i="44" s="1"/>
  <c r="E32" i="44"/>
  <c r="E31" i="44"/>
  <c r="D33" i="44"/>
  <c r="D32" i="44"/>
  <c r="D34" i="44"/>
  <c r="D36" i="44" s="1"/>
  <c r="C19" i="44"/>
  <c r="E9" i="44"/>
  <c r="E46" i="44" s="1"/>
  <c r="E69" i="44" s="1"/>
  <c r="C57" i="44"/>
  <c r="C57" i="16"/>
  <c r="A52" i="16"/>
  <c r="B57" i="16"/>
  <c r="B56" i="16"/>
  <c r="B55" i="16"/>
  <c r="B54" i="16"/>
  <c r="B53" i="16"/>
  <c r="B52" i="16"/>
  <c r="C43" i="25" l="1"/>
  <c r="S43" i="25" s="1"/>
  <c r="G41" i="5"/>
  <c r="G40" i="5" s="1"/>
  <c r="C56" i="44"/>
  <c r="G40" i="44"/>
  <c r="H37" i="44"/>
  <c r="A14" i="18"/>
  <c r="G37" i="44"/>
  <c r="H41" i="44"/>
  <c r="C18" i="44"/>
  <c r="C79" i="44"/>
  <c r="F9" i="44"/>
  <c r="E101" i="44"/>
  <c r="E127" i="44" s="1"/>
  <c r="E85" i="44"/>
  <c r="C80" i="44"/>
  <c r="C34" i="44"/>
  <c r="D25" i="44"/>
  <c r="E25" i="44"/>
  <c r="C33" i="44"/>
  <c r="D46" i="44"/>
  <c r="D69" i="44" s="1"/>
  <c r="G42" i="29" l="1"/>
  <c r="G42" i="7"/>
  <c r="H40" i="44"/>
  <c r="C17" i="44"/>
  <c r="C111" i="44"/>
  <c r="C55" i="44"/>
  <c r="F37" i="44"/>
  <c r="G41" i="44"/>
  <c r="C95" i="44"/>
  <c r="F46" i="44"/>
  <c r="F69" i="44" s="1"/>
  <c r="G9" i="44"/>
  <c r="F25" i="44"/>
  <c r="E159" i="44"/>
  <c r="E185" i="44" s="1"/>
  <c r="E143" i="44"/>
  <c r="D101" i="44"/>
  <c r="D127" i="44" s="1"/>
  <c r="D85" i="44"/>
  <c r="C112" i="44"/>
  <c r="C96" i="44"/>
  <c r="C78" i="44" l="1"/>
  <c r="C137" i="44"/>
  <c r="C16" i="44"/>
  <c r="C54" i="44"/>
  <c r="C32" i="44"/>
  <c r="I40" i="44"/>
  <c r="E37" i="44"/>
  <c r="E41" i="44" s="1"/>
  <c r="F41" i="44"/>
  <c r="F78" i="44" s="1"/>
  <c r="H9" i="44"/>
  <c r="G46" i="44"/>
  <c r="G69" i="44" s="1"/>
  <c r="G25" i="44"/>
  <c r="F101" i="44"/>
  <c r="F127" i="44" s="1"/>
  <c r="F85" i="44"/>
  <c r="D143" i="44"/>
  <c r="D159" i="44"/>
  <c r="D185" i="44" s="1"/>
  <c r="C153" i="44"/>
  <c r="C169" i="44"/>
  <c r="E202" i="44"/>
  <c r="E217" i="44"/>
  <c r="E244" i="44" s="1"/>
  <c r="E260" i="44" s="1"/>
  <c r="C138" i="44"/>
  <c r="C77" i="44" l="1"/>
  <c r="C53" i="44"/>
  <c r="C31" i="44"/>
  <c r="C15" i="44"/>
  <c r="J40" i="44"/>
  <c r="C94" i="44"/>
  <c r="C110" i="44"/>
  <c r="F94" i="44"/>
  <c r="E79" i="44"/>
  <c r="D79" i="44"/>
  <c r="E78" i="44"/>
  <c r="D78" i="44"/>
  <c r="F143" i="44"/>
  <c r="F159" i="44"/>
  <c r="F185" i="44" s="1"/>
  <c r="G85" i="44"/>
  <c r="G101" i="44"/>
  <c r="G127" i="44" s="1"/>
  <c r="I9" i="44"/>
  <c r="H25" i="44" s="1"/>
  <c r="H46" i="44"/>
  <c r="H69" i="44" s="1"/>
  <c r="C170" i="44"/>
  <c r="C154" i="44"/>
  <c r="C195" i="44"/>
  <c r="D202" i="44"/>
  <c r="D217" i="44"/>
  <c r="D244" i="44" s="1"/>
  <c r="D260" i="44" s="1"/>
  <c r="D276" i="44" s="1"/>
  <c r="D301" i="44" s="1"/>
  <c r="D315" i="44" s="1"/>
  <c r="D330" i="44" s="1"/>
  <c r="B46" i="16" s="1"/>
  <c r="C30" i="44" l="1"/>
  <c r="C52" i="44"/>
  <c r="C14" i="44"/>
  <c r="F152" i="44"/>
  <c r="C136" i="44"/>
  <c r="C76" i="44"/>
  <c r="C93" i="44"/>
  <c r="C109" i="44"/>
  <c r="E77" i="44"/>
  <c r="G77" i="44"/>
  <c r="F77" i="44"/>
  <c r="D77" i="44"/>
  <c r="E94" i="44"/>
  <c r="E95" i="44"/>
  <c r="E93" i="44"/>
  <c r="I46" i="44"/>
  <c r="I69" i="44" s="1"/>
  <c r="J9" i="44"/>
  <c r="J46" i="44" s="1"/>
  <c r="J69" i="44" s="1"/>
  <c r="I25" i="44"/>
  <c r="J25" i="44" s="1"/>
  <c r="G159" i="44"/>
  <c r="G185" i="44" s="1"/>
  <c r="G143" i="44"/>
  <c r="H85" i="44"/>
  <c r="H101" i="44"/>
  <c r="H127" i="44" s="1"/>
  <c r="F202" i="44"/>
  <c r="F217" i="44"/>
  <c r="F244" i="44" s="1"/>
  <c r="F260" i="44" s="1"/>
  <c r="E276" i="44" s="1"/>
  <c r="E301" i="44" s="1"/>
  <c r="E315" i="44" s="1"/>
  <c r="E330" i="44" s="1"/>
  <c r="C46" i="16" s="1"/>
  <c r="C227" i="44"/>
  <c r="C212" i="44"/>
  <c r="C196" i="44"/>
  <c r="C168" i="44" l="1"/>
  <c r="C152" i="44"/>
  <c r="E136" i="44"/>
  <c r="C135" i="44"/>
  <c r="F269" i="44"/>
  <c r="G93" i="44"/>
  <c r="F93" i="44"/>
  <c r="C51" i="44"/>
  <c r="C29" i="44"/>
  <c r="C13" i="44"/>
  <c r="C75" i="44"/>
  <c r="E135" i="44"/>
  <c r="C92" i="44"/>
  <c r="C108" i="44"/>
  <c r="F76" i="44"/>
  <c r="E76" i="44"/>
  <c r="H76" i="44"/>
  <c r="G76" i="44"/>
  <c r="E153" i="44"/>
  <c r="H159" i="44"/>
  <c r="H185" i="44" s="1"/>
  <c r="H143" i="44"/>
  <c r="G217" i="44"/>
  <c r="G244" i="44" s="1"/>
  <c r="G260" i="44" s="1"/>
  <c r="G202" i="44"/>
  <c r="J85" i="44"/>
  <c r="J101" i="44"/>
  <c r="J127" i="44" s="1"/>
  <c r="I85" i="44"/>
  <c r="I101" i="44"/>
  <c r="I127" i="44" s="1"/>
  <c r="C228" i="44"/>
  <c r="C254" i="44"/>
  <c r="F92" i="44" l="1"/>
  <c r="H92" i="44"/>
  <c r="E92" i="44"/>
  <c r="C74" i="44"/>
  <c r="E270" i="44"/>
  <c r="E152" i="44"/>
  <c r="E151" i="44"/>
  <c r="G151" i="44"/>
  <c r="F135" i="44"/>
  <c r="C91" i="44"/>
  <c r="I75" i="44"/>
  <c r="G75" i="44"/>
  <c r="H75" i="44"/>
  <c r="C107" i="44"/>
  <c r="F75" i="44"/>
  <c r="G92" i="44"/>
  <c r="C50" i="44"/>
  <c r="C12" i="44"/>
  <c r="C28" i="44"/>
  <c r="C194" i="44"/>
  <c r="C134" i="44"/>
  <c r="C167" i="44"/>
  <c r="C151" i="44"/>
  <c r="I143" i="44"/>
  <c r="I159" i="44"/>
  <c r="I185" i="44" s="1"/>
  <c r="J143" i="44"/>
  <c r="J159" i="44"/>
  <c r="J185" i="44" s="1"/>
  <c r="F276" i="44"/>
  <c r="F301" i="44" s="1"/>
  <c r="F315" i="44" s="1"/>
  <c r="F330" i="44" s="1"/>
  <c r="D46" i="16" s="1"/>
  <c r="H217" i="44"/>
  <c r="H244" i="44" s="1"/>
  <c r="H260" i="44" s="1"/>
  <c r="H202" i="44"/>
  <c r="C255" i="44"/>
  <c r="C285" i="44"/>
  <c r="C270" i="44"/>
  <c r="C166" i="44" l="1"/>
  <c r="C150" i="44"/>
  <c r="G134" i="44"/>
  <c r="F151" i="44"/>
  <c r="C226" i="44"/>
  <c r="C211" i="44"/>
  <c r="C133" i="44"/>
  <c r="C90" i="44"/>
  <c r="G74" i="44"/>
  <c r="I74" i="44"/>
  <c r="H74" i="44"/>
  <c r="J74" i="44"/>
  <c r="C106" i="44"/>
  <c r="G268" i="44"/>
  <c r="E150" i="44"/>
  <c r="C310" i="44"/>
  <c r="E268" i="44"/>
  <c r="H150" i="44"/>
  <c r="C11" i="44"/>
  <c r="C27" i="44"/>
  <c r="C49" i="44"/>
  <c r="C193" i="44"/>
  <c r="C73" i="44"/>
  <c r="I91" i="44"/>
  <c r="F91" i="44"/>
  <c r="G91" i="44"/>
  <c r="H91" i="44"/>
  <c r="F134" i="44"/>
  <c r="E269" i="44"/>
  <c r="J202" i="44"/>
  <c r="J217" i="44"/>
  <c r="J244" i="44" s="1"/>
  <c r="J260" i="44" s="1"/>
  <c r="I202" i="44"/>
  <c r="I217" i="44"/>
  <c r="I244" i="44" s="1"/>
  <c r="I260" i="44" s="1"/>
  <c r="H276" i="44" s="1"/>
  <c r="H301" i="44" s="1"/>
  <c r="H315" i="44" s="1"/>
  <c r="H330" i="44" s="1"/>
  <c r="F46" i="16" s="1"/>
  <c r="G276" i="44"/>
  <c r="G301" i="44" s="1"/>
  <c r="G315" i="44" s="1"/>
  <c r="G330" i="44" s="1"/>
  <c r="E46" i="16" s="1"/>
  <c r="C271" i="44"/>
  <c r="C339" i="44"/>
  <c r="C324" i="44"/>
  <c r="C149" i="44" l="1"/>
  <c r="C165" i="44"/>
  <c r="I149" i="44"/>
  <c r="C48" i="44"/>
  <c r="E267" i="44"/>
  <c r="H90" i="44"/>
  <c r="G90" i="44"/>
  <c r="I90" i="44"/>
  <c r="F268" i="44"/>
  <c r="F149" i="44"/>
  <c r="E284" i="44"/>
  <c r="C89" i="44"/>
  <c r="C105" i="44"/>
  <c r="G150" i="44"/>
  <c r="F150" i="44"/>
  <c r="C225" i="44"/>
  <c r="C210" i="44"/>
  <c r="C132" i="44"/>
  <c r="H267" i="44"/>
  <c r="H133" i="44"/>
  <c r="E283" i="44"/>
  <c r="J90" i="44"/>
  <c r="C192" i="44"/>
  <c r="G133" i="44"/>
  <c r="C72" i="44"/>
  <c r="C253" i="44"/>
  <c r="I276" i="44"/>
  <c r="I301" i="44" s="1"/>
  <c r="I315" i="44" s="1"/>
  <c r="I330" i="44" s="1"/>
  <c r="G46" i="16" s="1"/>
  <c r="G48" i="16" s="1"/>
  <c r="J148" i="44" l="1"/>
  <c r="C131" i="44"/>
  <c r="I132" i="44"/>
  <c r="C71" i="44"/>
  <c r="C252" i="44"/>
  <c r="G132" i="44"/>
  <c r="H132" i="44"/>
  <c r="H149" i="44"/>
  <c r="E287" i="44"/>
  <c r="E323" i="44"/>
  <c r="I266" i="44"/>
  <c r="C88" i="44"/>
  <c r="C104" i="44"/>
  <c r="C224" i="44"/>
  <c r="C209" i="44"/>
  <c r="F267" i="44"/>
  <c r="C191" i="44"/>
  <c r="G149" i="44"/>
  <c r="F266" i="44"/>
  <c r="E282" i="44"/>
  <c r="E322" i="44"/>
  <c r="C269" i="44"/>
  <c r="C284" i="44"/>
  <c r="C148" i="44"/>
  <c r="C164" i="44"/>
  <c r="G267" i="44"/>
  <c r="F283" i="44"/>
  <c r="G266" i="44" l="1"/>
  <c r="C130" i="44"/>
  <c r="C87" i="44"/>
  <c r="C103" i="44"/>
  <c r="C190" i="44"/>
  <c r="C223" i="44"/>
  <c r="C208" i="44"/>
  <c r="H266" i="44"/>
  <c r="E321" i="44"/>
  <c r="I148" i="44"/>
  <c r="H148" i="44"/>
  <c r="C309" i="44"/>
  <c r="F282" i="44"/>
  <c r="C147" i="44"/>
  <c r="C163" i="44"/>
  <c r="G148" i="44"/>
  <c r="F322" i="44"/>
  <c r="F287" i="44"/>
  <c r="G282" i="44"/>
  <c r="C251" i="44"/>
  <c r="C283" i="44"/>
  <c r="C268" i="44"/>
  <c r="J265" i="44"/>
  <c r="C129" i="44" l="1"/>
  <c r="C267" i="44"/>
  <c r="C282" i="44"/>
  <c r="C189" i="44"/>
  <c r="C338" i="44"/>
  <c r="C323" i="44"/>
  <c r="G281" i="44"/>
  <c r="F321" i="44"/>
  <c r="C162" i="44"/>
  <c r="C146" i="44"/>
  <c r="G321" i="44"/>
  <c r="G287" i="44"/>
  <c r="H265" i="44"/>
  <c r="C250" i="44"/>
  <c r="H281" i="44"/>
  <c r="C308" i="44"/>
  <c r="G265" i="44"/>
  <c r="I265" i="44"/>
  <c r="C222" i="44"/>
  <c r="C207" i="44"/>
  <c r="F281" i="44"/>
  <c r="C188" i="44" l="1"/>
  <c r="C281" i="44"/>
  <c r="C266" i="44"/>
  <c r="C206" i="44"/>
  <c r="C221" i="44"/>
  <c r="H280" i="44"/>
  <c r="G280" i="44"/>
  <c r="C307" i="44"/>
  <c r="I280" i="44"/>
  <c r="G320" i="44"/>
  <c r="F320" i="44"/>
  <c r="C249" i="44"/>
  <c r="C337" i="44"/>
  <c r="C322" i="44"/>
  <c r="C145" i="44"/>
  <c r="C161" i="44"/>
  <c r="H287" i="44"/>
  <c r="H320" i="44"/>
  <c r="C248" i="44" l="1"/>
  <c r="C336" i="44"/>
  <c r="C321" i="44"/>
  <c r="I319" i="44"/>
  <c r="C280" i="44"/>
  <c r="C265" i="44"/>
  <c r="G319" i="44"/>
  <c r="C306" i="44"/>
  <c r="C187" i="44"/>
  <c r="H319" i="44"/>
  <c r="C205" i="44"/>
  <c r="C220" i="44"/>
  <c r="C204" i="44" l="1"/>
  <c r="C219" i="44"/>
  <c r="C247" i="44"/>
  <c r="C335" i="44"/>
  <c r="C320" i="44"/>
  <c r="C305" i="44"/>
  <c r="C264" i="44"/>
  <c r="C279" i="44"/>
  <c r="D37" i="44"/>
  <c r="D41" i="44" s="1"/>
  <c r="D80" i="44" s="1"/>
  <c r="C246" i="44" l="1"/>
  <c r="C304" i="44"/>
  <c r="C278" i="44"/>
  <c r="C263" i="44"/>
  <c r="C319" i="44"/>
  <c r="C334" i="44"/>
  <c r="D96" i="44"/>
  <c r="D94" i="44"/>
  <c r="D93" i="44"/>
  <c r="D95" i="44"/>
  <c r="I287" i="44"/>
  <c r="C303" i="44" l="1"/>
  <c r="D135" i="44"/>
  <c r="D137" i="44"/>
  <c r="D136" i="44"/>
  <c r="C333" i="44"/>
  <c r="C318" i="44"/>
  <c r="D154" i="44"/>
  <c r="C262" i="44"/>
  <c r="B196" i="42"/>
  <c r="B195" i="42"/>
  <c r="C144" i="42"/>
  <c r="C122" i="42"/>
  <c r="C86" i="42"/>
  <c r="L65" i="42"/>
  <c r="K65" i="42"/>
  <c r="J65" i="42"/>
  <c r="I65" i="42"/>
  <c r="H65" i="42"/>
  <c r="G65" i="42"/>
  <c r="F65" i="42"/>
  <c r="E65" i="42"/>
  <c r="D65" i="42"/>
  <c r="C65" i="42"/>
  <c r="C32" i="42"/>
  <c r="D152" i="44" l="1"/>
  <c r="D153" i="44"/>
  <c r="D271" i="44"/>
  <c r="D151" i="44"/>
  <c r="C332" i="44"/>
  <c r="C317" i="44"/>
  <c r="E333" i="43"/>
  <c r="C40" i="13" s="1"/>
  <c r="F333" i="43"/>
  <c r="D40" i="13" s="1"/>
  <c r="G333" i="43"/>
  <c r="E40" i="13" s="1"/>
  <c r="H333" i="43"/>
  <c r="F40" i="13" s="1"/>
  <c r="I333" i="43"/>
  <c r="G40" i="13" s="1"/>
  <c r="I335" i="43"/>
  <c r="H335" i="43"/>
  <c r="G335" i="43"/>
  <c r="F335" i="43"/>
  <c r="E335" i="43"/>
  <c r="D335" i="43"/>
  <c r="I334" i="43"/>
  <c r="H334" i="43"/>
  <c r="G334" i="43"/>
  <c r="F334" i="43"/>
  <c r="E334" i="43"/>
  <c r="D334" i="43"/>
  <c r="D333" i="43"/>
  <c r="B40" i="13" s="1"/>
  <c r="J225" i="43"/>
  <c r="J224" i="43"/>
  <c r="J223" i="43"/>
  <c r="J222" i="43"/>
  <c r="I226" i="43"/>
  <c r="I225" i="43"/>
  <c r="I224" i="43"/>
  <c r="I223" i="43"/>
  <c r="H227" i="43"/>
  <c r="H226" i="43"/>
  <c r="H225" i="43"/>
  <c r="H224" i="43"/>
  <c r="G228" i="43"/>
  <c r="G227" i="43"/>
  <c r="G226" i="43"/>
  <c r="G225" i="43"/>
  <c r="F229" i="43"/>
  <c r="F228" i="43"/>
  <c r="F227" i="43"/>
  <c r="F226" i="43"/>
  <c r="E230" i="43"/>
  <c r="E229" i="43"/>
  <c r="E228" i="43"/>
  <c r="E227" i="43"/>
  <c r="D231" i="43"/>
  <c r="D230" i="43"/>
  <c r="D229" i="43"/>
  <c r="D228" i="43"/>
  <c r="J149" i="43"/>
  <c r="J148" i="43"/>
  <c r="J147" i="43"/>
  <c r="I149" i="43"/>
  <c r="I148" i="43"/>
  <c r="I250" i="43" s="1"/>
  <c r="H149" i="43"/>
  <c r="J134" i="43"/>
  <c r="I135" i="43"/>
  <c r="H136" i="43"/>
  <c r="G137" i="43"/>
  <c r="F138" i="43"/>
  <c r="E139" i="43"/>
  <c r="D140" i="43"/>
  <c r="I30" i="43"/>
  <c r="I37" i="43" s="1"/>
  <c r="I38" i="43" s="1"/>
  <c r="I42" i="43" s="1"/>
  <c r="I29" i="43"/>
  <c r="I28" i="43"/>
  <c r="H31" i="43"/>
  <c r="H37" i="43" s="1"/>
  <c r="H30" i="43"/>
  <c r="H29" i="43"/>
  <c r="G32" i="43"/>
  <c r="G37" i="43" s="1"/>
  <c r="G31" i="43"/>
  <c r="G30" i="43"/>
  <c r="F33" i="43"/>
  <c r="F37" i="43" s="1"/>
  <c r="F32" i="43"/>
  <c r="F31" i="43"/>
  <c r="E34" i="43"/>
  <c r="E37" i="43" s="1"/>
  <c r="E33" i="43"/>
  <c r="E32" i="43"/>
  <c r="D34" i="43"/>
  <c r="D33" i="43"/>
  <c r="J42" i="43"/>
  <c r="D35" i="43"/>
  <c r="D37" i="43" s="1"/>
  <c r="C58" i="43"/>
  <c r="E10" i="43"/>
  <c r="F10" i="43" s="1"/>
  <c r="N24" i="14"/>
  <c r="M24" i="14"/>
  <c r="L24" i="14"/>
  <c r="K24" i="14"/>
  <c r="J24" i="14"/>
  <c r="I24" i="14"/>
  <c r="H24" i="14"/>
  <c r="G24" i="14"/>
  <c r="F24" i="14"/>
  <c r="E24" i="14"/>
  <c r="D24" i="14"/>
  <c r="C24" i="14"/>
  <c r="B24" i="14"/>
  <c r="U54" i="15"/>
  <c r="S53" i="15"/>
  <c r="R53" i="15"/>
  <c r="Q53" i="15"/>
  <c r="P53" i="15"/>
  <c r="O53" i="15"/>
  <c r="N53" i="15"/>
  <c r="M53" i="15"/>
  <c r="L53" i="15"/>
  <c r="K53" i="15"/>
  <c r="J53" i="15"/>
  <c r="I53" i="15"/>
  <c r="H53" i="15"/>
  <c r="G53" i="15"/>
  <c r="F53" i="15"/>
  <c r="E53" i="15"/>
  <c r="D53" i="15"/>
  <c r="C53" i="15"/>
  <c r="B53" i="15"/>
  <c r="S29" i="15"/>
  <c r="D268" i="44" l="1"/>
  <c r="D270" i="44"/>
  <c r="D269" i="44"/>
  <c r="H251" i="43"/>
  <c r="J249" i="43"/>
  <c r="J250" i="43"/>
  <c r="I266" i="43" s="1"/>
  <c r="I309" i="43" s="1"/>
  <c r="J251" i="43"/>
  <c r="I251" i="43"/>
  <c r="H267" i="43" s="1"/>
  <c r="H310" i="43" s="1"/>
  <c r="M26" i="14"/>
  <c r="T54" i="15"/>
  <c r="S54" i="15" s="1"/>
  <c r="R54" i="15" s="1"/>
  <c r="H38" i="43"/>
  <c r="H42" i="43" s="1"/>
  <c r="E47" i="43"/>
  <c r="E70" i="43" s="1"/>
  <c r="E86" i="43" s="1"/>
  <c r="F47" i="43"/>
  <c r="F70" i="43" s="1"/>
  <c r="G10" i="43"/>
  <c r="F26" i="43" s="1"/>
  <c r="E102" i="43"/>
  <c r="E129" i="43" s="1"/>
  <c r="D26" i="43"/>
  <c r="D47" i="43"/>
  <c r="D70" i="43" s="1"/>
  <c r="E26" i="43"/>
  <c r="C81" i="43"/>
  <c r="C20" i="43"/>
  <c r="D41" i="43"/>
  <c r="C35" i="43"/>
  <c r="D284" i="44" l="1"/>
  <c r="D285" i="44"/>
  <c r="D283" i="44"/>
  <c r="I267" i="43"/>
  <c r="I310" i="43" s="1"/>
  <c r="G38" i="43"/>
  <c r="D86" i="43"/>
  <c r="D102" i="43"/>
  <c r="D129" i="43" s="1"/>
  <c r="C34" i="43"/>
  <c r="E145" i="43"/>
  <c r="E161" i="43"/>
  <c r="E188" i="43" s="1"/>
  <c r="E41" i="43"/>
  <c r="C19" i="43"/>
  <c r="C57" i="43"/>
  <c r="C97" i="43"/>
  <c r="C113" i="43"/>
  <c r="G47" i="43"/>
  <c r="G70" i="43" s="1"/>
  <c r="H10" i="43"/>
  <c r="F86" i="43"/>
  <c r="F102" i="43"/>
  <c r="F129" i="43" s="1"/>
  <c r="D322" i="44" l="1"/>
  <c r="D287" i="44"/>
  <c r="D324" i="44"/>
  <c r="D323" i="44"/>
  <c r="G42" i="43"/>
  <c r="F38" i="43"/>
  <c r="F41" i="43"/>
  <c r="C140" i="43"/>
  <c r="E220" i="43"/>
  <c r="E247" i="43" s="1"/>
  <c r="E205" i="43"/>
  <c r="G86" i="43"/>
  <c r="G102" i="43"/>
  <c r="G129" i="43" s="1"/>
  <c r="C33" i="43"/>
  <c r="H47" i="43"/>
  <c r="H70" i="43" s="1"/>
  <c r="I10" i="43"/>
  <c r="C80" i="43"/>
  <c r="C56" i="43"/>
  <c r="D161" i="43"/>
  <c r="D188" i="43" s="1"/>
  <c r="D145" i="43"/>
  <c r="F145" i="43"/>
  <c r="F161" i="43"/>
  <c r="F188" i="43" s="1"/>
  <c r="G26" i="43"/>
  <c r="C18" i="43"/>
  <c r="E38" i="43" l="1"/>
  <c r="F42" i="43"/>
  <c r="D220" i="43"/>
  <c r="D247" i="43" s="1"/>
  <c r="D263" i="43" s="1"/>
  <c r="D281" i="43" s="1"/>
  <c r="D307" i="43" s="1"/>
  <c r="D322" i="43" s="1"/>
  <c r="B39" i="13" s="1"/>
  <c r="B41" i="13" s="1"/>
  <c r="D205" i="43"/>
  <c r="G145" i="43"/>
  <c r="G161" i="43"/>
  <c r="G188" i="43" s="1"/>
  <c r="I47" i="43"/>
  <c r="I70" i="43" s="1"/>
  <c r="J10" i="43"/>
  <c r="J47" i="43" s="1"/>
  <c r="J70" i="43" s="1"/>
  <c r="C55" i="43"/>
  <c r="C79" i="43"/>
  <c r="C96" i="43"/>
  <c r="C112" i="43"/>
  <c r="H26" i="43"/>
  <c r="F205" i="43"/>
  <c r="F220" i="43"/>
  <c r="F247" i="43" s="1"/>
  <c r="E263" i="43" s="1"/>
  <c r="E281" i="43" s="1"/>
  <c r="E307" i="43" s="1"/>
  <c r="E322" i="43" s="1"/>
  <c r="C39" i="13" s="1"/>
  <c r="H102" i="43"/>
  <c r="H129" i="43" s="1"/>
  <c r="H86" i="43"/>
  <c r="C156" i="43"/>
  <c r="C172" i="43"/>
  <c r="C17" i="43"/>
  <c r="C32" i="43"/>
  <c r="G41" i="43"/>
  <c r="D79" i="43" l="1"/>
  <c r="F79" i="43"/>
  <c r="E79" i="43"/>
  <c r="E42" i="43"/>
  <c r="D38" i="43"/>
  <c r="D42" i="43" s="1"/>
  <c r="I26" i="43"/>
  <c r="J26" i="43" s="1"/>
  <c r="C78" i="43"/>
  <c r="C54" i="43"/>
  <c r="C31" i="43"/>
  <c r="C139" i="43"/>
  <c r="J102" i="43"/>
  <c r="J129" i="43" s="1"/>
  <c r="J86" i="43"/>
  <c r="C16" i="43"/>
  <c r="H145" i="43"/>
  <c r="H161" i="43"/>
  <c r="H188" i="43" s="1"/>
  <c r="I102" i="43"/>
  <c r="I129" i="43" s="1"/>
  <c r="I86" i="43"/>
  <c r="C111" i="43"/>
  <c r="C95" i="43"/>
  <c r="G205" i="43"/>
  <c r="G220" i="43"/>
  <c r="G247" i="43" s="1"/>
  <c r="H41" i="43"/>
  <c r="C199" i="43"/>
  <c r="D81" i="43" l="1"/>
  <c r="D97" i="43" s="1"/>
  <c r="D156" i="43" s="1"/>
  <c r="D258" i="43" s="1"/>
  <c r="E80" i="43"/>
  <c r="E96" i="43" s="1"/>
  <c r="E155" i="43" s="1"/>
  <c r="E257" i="43" s="1"/>
  <c r="D80" i="43"/>
  <c r="F95" i="43"/>
  <c r="F154" i="43" s="1"/>
  <c r="F256" i="43" s="1"/>
  <c r="D78" i="43"/>
  <c r="G78" i="43"/>
  <c r="F78" i="43"/>
  <c r="E78" i="43"/>
  <c r="D96" i="43"/>
  <c r="C94" i="43"/>
  <c r="C110" i="43"/>
  <c r="C15" i="43"/>
  <c r="C30" i="43"/>
  <c r="C231" i="43"/>
  <c r="H205" i="43"/>
  <c r="H220" i="43"/>
  <c r="H247" i="43" s="1"/>
  <c r="G263" i="43" s="1"/>
  <c r="G281" i="43" s="1"/>
  <c r="G307" i="43" s="1"/>
  <c r="G322" i="43" s="1"/>
  <c r="E39" i="13" s="1"/>
  <c r="J161" i="43"/>
  <c r="J188" i="43" s="1"/>
  <c r="J145" i="43"/>
  <c r="C138" i="43"/>
  <c r="I41" i="43"/>
  <c r="C53" i="43"/>
  <c r="C77" i="43"/>
  <c r="I161" i="43"/>
  <c r="I188" i="43" s="1"/>
  <c r="I145" i="43"/>
  <c r="F263" i="43"/>
  <c r="F281" i="43" s="1"/>
  <c r="F307" i="43" s="1"/>
  <c r="F322" i="43" s="1"/>
  <c r="D39" i="13" s="1"/>
  <c r="C171" i="43"/>
  <c r="C155" i="43"/>
  <c r="D139" i="43" l="1"/>
  <c r="D155" i="43" s="1"/>
  <c r="D257" i="43" s="1"/>
  <c r="D273" i="43" s="1"/>
  <c r="E95" i="43"/>
  <c r="E138" i="43" s="1"/>
  <c r="E154" i="43" s="1"/>
  <c r="E256" i="43" s="1"/>
  <c r="F94" i="43"/>
  <c r="F137" i="43" s="1"/>
  <c r="E94" i="43"/>
  <c r="E137" i="43" s="1"/>
  <c r="D94" i="43"/>
  <c r="D137" i="43" s="1"/>
  <c r="G94" i="43"/>
  <c r="G153" i="43" s="1"/>
  <c r="G255" i="43" s="1"/>
  <c r="D95" i="43"/>
  <c r="F77" i="43"/>
  <c r="H77" i="43"/>
  <c r="G77" i="43"/>
  <c r="E77" i="43"/>
  <c r="C76" i="43"/>
  <c r="C52" i="43"/>
  <c r="C29" i="43"/>
  <c r="C93" i="43"/>
  <c r="C109" i="43"/>
  <c r="C154" i="43"/>
  <c r="C170" i="43"/>
  <c r="C258" i="43"/>
  <c r="J220" i="43"/>
  <c r="J247" i="43" s="1"/>
  <c r="J205" i="43"/>
  <c r="J41" i="43"/>
  <c r="C137" i="43"/>
  <c r="I205" i="43"/>
  <c r="I220" i="43"/>
  <c r="I247" i="43" s="1"/>
  <c r="H263" i="43" s="1"/>
  <c r="H281" i="43" s="1"/>
  <c r="H307" i="43" s="1"/>
  <c r="H322" i="43" s="1"/>
  <c r="F39" i="13" s="1"/>
  <c r="C14" i="43"/>
  <c r="C198" i="43"/>
  <c r="D138" i="43" l="1"/>
  <c r="D154" i="43" s="1"/>
  <c r="D256" i="43" s="1"/>
  <c r="D272" i="43" s="1"/>
  <c r="D315" i="43" s="1"/>
  <c r="D153" i="43"/>
  <c r="D255" i="43" s="1"/>
  <c r="E272" i="43"/>
  <c r="H76" i="43"/>
  <c r="F76" i="43"/>
  <c r="G76" i="43"/>
  <c r="I76" i="43"/>
  <c r="H93" i="43"/>
  <c r="H152" i="43" s="1"/>
  <c r="H254" i="43" s="1"/>
  <c r="F93" i="43"/>
  <c r="F136" i="43" s="1"/>
  <c r="E93" i="43"/>
  <c r="G93" i="43"/>
  <c r="G136" i="43" s="1"/>
  <c r="D316" i="43"/>
  <c r="D275" i="43"/>
  <c r="C108" i="43"/>
  <c r="C92" i="43"/>
  <c r="C230" i="43"/>
  <c r="C215" i="43"/>
  <c r="C136" i="43"/>
  <c r="C28" i="43"/>
  <c r="C13" i="43"/>
  <c r="C169" i="43"/>
  <c r="E153" i="43"/>
  <c r="E255" i="43" s="1"/>
  <c r="D271" i="43" s="1"/>
  <c r="C153" i="43"/>
  <c r="F153" i="43"/>
  <c r="F255" i="43" s="1"/>
  <c r="I263" i="43"/>
  <c r="I281" i="43" s="1"/>
  <c r="I307" i="43" s="1"/>
  <c r="I322" i="43" s="1"/>
  <c r="G39" i="13" s="1"/>
  <c r="C197" i="43"/>
  <c r="C75" i="43"/>
  <c r="C51" i="43"/>
  <c r="E271" i="43" l="1"/>
  <c r="E314" i="43" s="1"/>
  <c r="I75" i="43"/>
  <c r="H75" i="43"/>
  <c r="J75" i="43"/>
  <c r="G75" i="43"/>
  <c r="I92" i="43"/>
  <c r="I151" i="43" s="1"/>
  <c r="I253" i="43" s="1"/>
  <c r="H92" i="43"/>
  <c r="H135" i="43" s="1"/>
  <c r="F92" i="43"/>
  <c r="G92" i="43"/>
  <c r="G135" i="43" s="1"/>
  <c r="F271" i="43"/>
  <c r="D276" i="43"/>
  <c r="D314" i="43"/>
  <c r="E315" i="43"/>
  <c r="E275" i="43"/>
  <c r="C214" i="43"/>
  <c r="C229" i="43"/>
  <c r="C196" i="43"/>
  <c r="C152" i="43"/>
  <c r="C168" i="43"/>
  <c r="F152" i="43"/>
  <c r="F254" i="43" s="1"/>
  <c r="E152" i="43"/>
  <c r="E254" i="43" s="1"/>
  <c r="G152" i="43"/>
  <c r="G254" i="43" s="1"/>
  <c r="C257" i="43"/>
  <c r="C91" i="43"/>
  <c r="C107" i="43"/>
  <c r="C12" i="43"/>
  <c r="C135" i="43"/>
  <c r="C74" i="43"/>
  <c r="C50" i="43"/>
  <c r="F270" i="43" l="1"/>
  <c r="F313" i="43" s="1"/>
  <c r="E270" i="43"/>
  <c r="E276" i="43" s="1"/>
  <c r="I91" i="43"/>
  <c r="I134" i="43" s="1"/>
  <c r="H91" i="43"/>
  <c r="H134" i="43" s="1"/>
  <c r="G91" i="43"/>
  <c r="G134" i="43" s="1"/>
  <c r="J91" i="43"/>
  <c r="J150" i="43" s="1"/>
  <c r="J252" i="43" s="1"/>
  <c r="G270" i="43"/>
  <c r="F314" i="43"/>
  <c r="F275" i="43"/>
  <c r="C134" i="43"/>
  <c r="C290" i="43"/>
  <c r="C273" i="43"/>
  <c r="C106" i="43"/>
  <c r="C90" i="43"/>
  <c r="H151" i="43"/>
  <c r="H253" i="43" s="1"/>
  <c r="C167" i="43"/>
  <c r="G151" i="43"/>
  <c r="G253" i="43" s="1"/>
  <c r="F151" i="43"/>
  <c r="F253" i="43" s="1"/>
  <c r="C151" i="43"/>
  <c r="C228" i="43"/>
  <c r="C213" i="43"/>
  <c r="C49" i="43"/>
  <c r="C73" i="43"/>
  <c r="C195" i="43"/>
  <c r="C256" i="43"/>
  <c r="G269" i="43" l="1"/>
  <c r="G312" i="43" s="1"/>
  <c r="E313" i="43"/>
  <c r="G275" i="43"/>
  <c r="G313" i="43"/>
  <c r="H269" i="43"/>
  <c r="F269" i="43"/>
  <c r="C316" i="43"/>
  <c r="G150" i="43"/>
  <c r="G252" i="43" s="1"/>
  <c r="I150" i="43"/>
  <c r="I252" i="43" s="1"/>
  <c r="C166" i="43"/>
  <c r="C150" i="43"/>
  <c r="H150" i="43"/>
  <c r="H252" i="43" s="1"/>
  <c r="C194" i="43"/>
  <c r="C133" i="43"/>
  <c r="C272" i="43"/>
  <c r="C289" i="43"/>
  <c r="C212" i="43"/>
  <c r="C227" i="43"/>
  <c r="C89" i="43"/>
  <c r="C105" i="43"/>
  <c r="C255" i="43"/>
  <c r="C72" i="43"/>
  <c r="H268" i="43" l="1"/>
  <c r="H276" i="43" s="1"/>
  <c r="F312" i="43"/>
  <c r="F276" i="43"/>
  <c r="H275" i="43"/>
  <c r="H312" i="43"/>
  <c r="G268" i="43"/>
  <c r="I268" i="43"/>
  <c r="C331" i="43"/>
  <c r="C104" i="43"/>
  <c r="C88" i="43"/>
  <c r="C132" i="43"/>
  <c r="C254" i="43"/>
  <c r="C211" i="43"/>
  <c r="C226" i="43"/>
  <c r="C149" i="43"/>
  <c r="C165" i="43"/>
  <c r="C193" i="43"/>
  <c r="C288" i="43"/>
  <c r="C271" i="43"/>
  <c r="C315" i="43"/>
  <c r="H311" i="43" l="1"/>
  <c r="I311" i="43"/>
  <c r="I275" i="43"/>
  <c r="I276" i="43"/>
  <c r="G311" i="43"/>
  <c r="G276" i="43"/>
  <c r="C192" i="43"/>
  <c r="C225" i="43"/>
  <c r="C210" i="43"/>
  <c r="C330" i="43"/>
  <c r="C253" i="43"/>
  <c r="C270" i="43"/>
  <c r="C287" i="43"/>
  <c r="C148" i="43"/>
  <c r="C164" i="43"/>
  <c r="C131" i="43"/>
  <c r="C314" i="43"/>
  <c r="C329" i="43" l="1"/>
  <c r="C191" i="43"/>
  <c r="C252" i="43"/>
  <c r="C286" i="43"/>
  <c r="C269" i="43"/>
  <c r="C209" i="43"/>
  <c r="C224" i="43"/>
  <c r="C313" i="43"/>
  <c r="C163" i="43"/>
  <c r="C147" i="43"/>
  <c r="C328" i="43" l="1"/>
  <c r="C268" i="43"/>
  <c r="C285" i="43"/>
  <c r="C312" i="43"/>
  <c r="C190" i="43"/>
  <c r="C223" i="43"/>
  <c r="C208" i="43"/>
  <c r="C251" i="43"/>
  <c r="C222" i="43" l="1"/>
  <c r="C207" i="43"/>
  <c r="C250" i="43"/>
  <c r="C327" i="43"/>
  <c r="C284" i="43"/>
  <c r="C267" i="43"/>
  <c r="C311" i="43"/>
  <c r="C283" i="43" l="1"/>
  <c r="C266" i="43"/>
  <c r="C249" i="43"/>
  <c r="C326" i="43"/>
  <c r="C310" i="43"/>
  <c r="C265" i="43" l="1"/>
  <c r="C325" i="43"/>
  <c r="C309" i="43"/>
  <c r="C324" i="43" l="1"/>
  <c r="C52" i="12" l="1"/>
  <c r="D52" i="12"/>
  <c r="E52" i="12"/>
  <c r="F52" i="12"/>
  <c r="G52" i="12"/>
  <c r="H52" i="12"/>
  <c r="I52" i="12"/>
  <c r="J52" i="12"/>
  <c r="K52" i="12"/>
  <c r="L52" i="12"/>
  <c r="M52" i="12"/>
  <c r="N52" i="12"/>
  <c r="O52" i="12"/>
  <c r="P52" i="12"/>
  <c r="Q52" i="12"/>
  <c r="Q32" i="12"/>
  <c r="P32" i="12"/>
  <c r="O32" i="12"/>
  <c r="N32" i="12"/>
  <c r="M32" i="12"/>
  <c r="L32" i="12"/>
  <c r="K32" i="12"/>
  <c r="J32" i="12"/>
  <c r="I32" i="12"/>
  <c r="H32" i="12"/>
  <c r="G32" i="12"/>
  <c r="F32" i="12"/>
  <c r="E32" i="12"/>
  <c r="D32" i="12"/>
  <c r="C32" i="12"/>
  <c r="B32" i="12"/>
  <c r="U30" i="21"/>
  <c r="S29" i="21"/>
  <c r="R29" i="21"/>
  <c r="Q29" i="21"/>
  <c r="P29" i="21"/>
  <c r="O29" i="21"/>
  <c r="N29" i="21"/>
  <c r="M29" i="21"/>
  <c r="L29" i="21"/>
  <c r="K29" i="21"/>
  <c r="J29" i="21"/>
  <c r="I29" i="21"/>
  <c r="H29" i="21"/>
  <c r="G29" i="21"/>
  <c r="F29" i="21"/>
  <c r="E29" i="21"/>
  <c r="D29" i="21"/>
  <c r="C29" i="21"/>
  <c r="B29" i="21"/>
  <c r="P29" i="20"/>
  <c r="T30" i="21" l="1"/>
  <c r="S30" i="21" s="1"/>
  <c r="R30" i="21" s="1"/>
  <c r="U30" i="20"/>
  <c r="T30" i="20" s="1"/>
  <c r="S30" i="20" s="1"/>
  <c r="S29" i="20"/>
  <c r="U30" i="19"/>
  <c r="S29" i="19"/>
  <c r="R29" i="19"/>
  <c r="P29" i="19"/>
  <c r="I6" i="1"/>
  <c r="I40" i="1"/>
  <c r="R30" i="19" l="1"/>
  <c r="Q30" i="19" s="1"/>
  <c r="T30" i="19"/>
  <c r="S30" i="19" s="1"/>
  <c r="T11" i="8"/>
  <c r="R29" i="20" l="1"/>
  <c r="R30" i="20" s="1"/>
  <c r="O29" i="20"/>
  <c r="N29" i="20"/>
  <c r="M29" i="20"/>
  <c r="L29" i="20"/>
  <c r="K29" i="20"/>
  <c r="J29" i="20"/>
  <c r="I29" i="20"/>
  <c r="H29" i="20"/>
  <c r="G29" i="20"/>
  <c r="F29" i="20"/>
  <c r="E29" i="20"/>
  <c r="D29" i="20"/>
  <c r="C29" i="20"/>
  <c r="B29" i="20"/>
  <c r="Q31" i="10"/>
  <c r="P31" i="10"/>
  <c r="O31" i="10"/>
  <c r="N31" i="10"/>
  <c r="M31" i="10"/>
  <c r="L31" i="10"/>
  <c r="K31" i="10"/>
  <c r="J31" i="10"/>
  <c r="I31" i="10"/>
  <c r="H31" i="10"/>
  <c r="G31" i="10"/>
  <c r="F31" i="10"/>
  <c r="E31" i="10"/>
  <c r="D31" i="10"/>
  <c r="C31" i="10"/>
  <c r="B31" i="10"/>
  <c r="O29" i="19"/>
  <c r="N29" i="19"/>
  <c r="M29" i="19"/>
  <c r="L29" i="19"/>
  <c r="K29" i="19"/>
  <c r="J29" i="19"/>
  <c r="I29" i="19"/>
  <c r="H29" i="19"/>
  <c r="G29" i="19"/>
  <c r="F29" i="19"/>
  <c r="E29" i="19"/>
  <c r="D29" i="19"/>
  <c r="C29" i="19"/>
  <c r="B29" i="19"/>
  <c r="Q31" i="2"/>
  <c r="P31" i="2"/>
  <c r="O31" i="2"/>
  <c r="N31" i="2"/>
  <c r="M31" i="2"/>
  <c r="L31" i="2"/>
  <c r="K31" i="2"/>
  <c r="J31" i="2"/>
  <c r="I31" i="2"/>
  <c r="H31" i="2"/>
  <c r="G31" i="2"/>
  <c r="F31" i="2"/>
  <c r="E31" i="2"/>
  <c r="D31" i="2"/>
  <c r="C31" i="2"/>
  <c r="B31" i="2"/>
  <c r="Q30" i="20" l="1"/>
  <c r="P30" i="20" s="1"/>
  <c r="O30" i="20" s="1"/>
  <c r="N30" i="20" s="1"/>
  <c r="M30" i="20" s="1"/>
  <c r="L30" i="20" s="1"/>
  <c r="K30" i="20" s="1"/>
  <c r="J30" i="20" s="1"/>
  <c r="I30" i="20" s="1"/>
  <c r="H30" i="20" s="1"/>
  <c r="G30" i="20" s="1"/>
  <c r="F30" i="20" s="1"/>
  <c r="E30" i="20" s="1"/>
  <c r="D30" i="20" s="1"/>
  <c r="C30" i="20" s="1"/>
  <c r="B30" i="20" s="1"/>
  <c r="Q32" i="10" s="1"/>
  <c r="P32" i="10" s="1"/>
  <c r="O32" i="10" s="1"/>
  <c r="N32" i="10" s="1"/>
  <c r="M32" i="10" s="1"/>
  <c r="L32" i="10" s="1"/>
  <c r="K32" i="10" s="1"/>
  <c r="J32" i="10" s="1"/>
  <c r="I32" i="10" s="1"/>
  <c r="H32" i="10" s="1"/>
  <c r="G32" i="10" s="1"/>
  <c r="F32" i="10" s="1"/>
  <c r="E32" i="10" s="1"/>
  <c r="D32" i="10" s="1"/>
  <c r="C32" i="10" s="1"/>
  <c r="B32" i="10" s="1"/>
  <c r="P30" i="19"/>
  <c r="O30" i="19" s="1"/>
  <c r="N30" i="19" s="1"/>
  <c r="M30" i="19" s="1"/>
  <c r="L30" i="19" s="1"/>
  <c r="K30" i="19" s="1"/>
  <c r="J30" i="19" s="1"/>
  <c r="I30" i="19" s="1"/>
  <c r="H30" i="19" s="1"/>
  <c r="G30" i="19" s="1"/>
  <c r="F30" i="19" s="1"/>
  <c r="E30" i="19" s="1"/>
  <c r="D30" i="19" s="1"/>
  <c r="C30" i="19" s="1"/>
  <c r="B30" i="19" s="1"/>
  <c r="Q32" i="2" s="1"/>
  <c r="P32" i="2" s="1"/>
  <c r="O32" i="2" s="1"/>
  <c r="N32" i="2" s="1"/>
  <c r="M32" i="2" s="1"/>
  <c r="L32" i="2" s="1"/>
  <c r="K32" i="2" s="1"/>
  <c r="J32" i="2" s="1"/>
  <c r="I32" i="2" s="1"/>
  <c r="H32" i="2" s="1"/>
  <c r="G32" i="2" s="1"/>
  <c r="F32" i="2" s="1"/>
  <c r="E32" i="2" s="1"/>
  <c r="D32" i="2" s="1"/>
  <c r="C32" i="2" s="1"/>
  <c r="B32" i="2" s="1"/>
  <c r="M24" i="17"/>
  <c r="L24" i="17"/>
  <c r="K24" i="17"/>
  <c r="J24" i="17"/>
  <c r="I24" i="17"/>
  <c r="H24" i="17"/>
  <c r="G24" i="17"/>
  <c r="F24" i="17"/>
  <c r="E24" i="17"/>
  <c r="D24" i="17"/>
  <c r="C24" i="17"/>
  <c r="B24" i="17"/>
  <c r="K26" i="17"/>
  <c r="J26" i="17" s="1"/>
  <c r="I26" i="17" s="1"/>
  <c r="H26" i="17" s="1"/>
  <c r="G26" i="17" s="1"/>
  <c r="F26" i="17" s="1"/>
  <c r="E26" i="17" s="1"/>
  <c r="D26" i="17" s="1"/>
  <c r="C26" i="17" s="1"/>
  <c r="B26" i="17" l="1"/>
  <c r="B21" i="42" l="1"/>
  <c r="B31" i="11" l="1"/>
  <c r="C31" i="11"/>
  <c r="D31" i="11"/>
  <c r="E31" i="11"/>
  <c r="F31" i="11"/>
  <c r="G31" i="11"/>
  <c r="H31" i="11"/>
  <c r="I31" i="11"/>
  <c r="J31" i="11"/>
  <c r="K31" i="11"/>
  <c r="L31" i="11"/>
  <c r="M31" i="11"/>
  <c r="N31" i="11"/>
  <c r="O31" i="11"/>
  <c r="P31" i="11"/>
  <c r="Q31" i="11"/>
  <c r="B52" i="12"/>
  <c r="V32" i="13"/>
  <c r="U32" i="13"/>
  <c r="T32" i="13"/>
  <c r="S32" i="13"/>
  <c r="R32" i="13"/>
  <c r="Q32" i="13"/>
  <c r="P32" i="13"/>
  <c r="O32" i="13"/>
  <c r="N32" i="13"/>
  <c r="M32" i="13"/>
  <c r="L32" i="13"/>
  <c r="K32" i="13"/>
  <c r="J32" i="13"/>
  <c r="C74" i="12"/>
  <c r="C73" i="12"/>
  <c r="C56" i="16" s="1"/>
  <c r="C72" i="12"/>
  <c r="C55" i="16" s="1"/>
  <c r="C71" i="12"/>
  <c r="C54" i="16" s="1"/>
  <c r="C70" i="12"/>
  <c r="C53" i="16" s="1"/>
  <c r="A70" i="12"/>
  <c r="C69" i="12"/>
  <c r="C52" i="16" s="1"/>
  <c r="A71" i="12" l="1"/>
  <c r="A53" i="16"/>
  <c r="J19" i="28"/>
  <c r="J20" i="28"/>
  <c r="J21" i="28"/>
  <c r="J22" i="28"/>
  <c r="J23" i="28"/>
  <c r="J24" i="28"/>
  <c r="J25" i="28"/>
  <c r="J26" i="28"/>
  <c r="B17" i="28"/>
  <c r="B16" i="28"/>
  <c r="B15" i="28"/>
  <c r="B14" i="28"/>
  <c r="B13" i="28"/>
  <c r="B18" i="28"/>
  <c r="A8" i="22"/>
  <c r="A72" i="12" l="1"/>
  <c r="A54" i="16"/>
  <c r="J46"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V29" i="16"/>
  <c r="U29" i="16"/>
  <c r="T29" i="16"/>
  <c r="S29" i="16"/>
  <c r="R29" i="16"/>
  <c r="Q29" i="16"/>
  <c r="P29" i="16"/>
  <c r="O29" i="16"/>
  <c r="N29" i="16"/>
  <c r="M29" i="16"/>
  <c r="L29" i="16"/>
  <c r="K29" i="16"/>
  <c r="J29" i="16"/>
  <c r="L45" i="4" l="1"/>
  <c r="L41" i="4" s="1"/>
  <c r="L40" i="4" s="1"/>
  <c r="L39" i="4" s="1"/>
  <c r="L38" i="4" s="1"/>
  <c r="L37" i="4" s="1"/>
  <c r="L36" i="4" s="1"/>
  <c r="L35" i="4" s="1"/>
  <c r="L34" i="4" s="1"/>
  <c r="L33" i="4" s="1"/>
  <c r="L32" i="4" s="1"/>
  <c r="L31" i="4" s="1"/>
  <c r="L30" i="4" s="1"/>
  <c r="L29" i="4" s="1"/>
  <c r="L28" i="4" s="1"/>
  <c r="L27" i="4" s="1"/>
  <c r="A73" i="12"/>
  <c r="A55" i="16"/>
  <c r="V32" i="16"/>
  <c r="A74" i="12" l="1"/>
  <c r="A57" i="16" s="1"/>
  <c r="A56" i="16"/>
  <c r="L26" i="4"/>
  <c r="L24" i="4"/>
  <c r="L23" i="4"/>
  <c r="L25" i="4"/>
  <c r="L22" i="4"/>
  <c r="L21" i="4" s="1"/>
  <c r="L20" i="4" s="1"/>
  <c r="L19" i="4" s="1"/>
  <c r="L18" i="4" s="1"/>
  <c r="L17" i="4" s="1"/>
  <c r="L16" i="4" s="1"/>
  <c r="L15" i="4" s="1"/>
  <c r="L14" i="4" s="1"/>
  <c r="L13" i="4" s="1"/>
  <c r="L12" i="4" s="1"/>
  <c r="L11" i="4" s="1"/>
  <c r="L10" i="4" s="1"/>
  <c r="L9" i="4" s="1"/>
  <c r="B154" i="42" l="1"/>
  <c r="B132" i="42"/>
  <c r="B75" i="42"/>
  <c r="C24" i="42"/>
  <c r="B42" i="42"/>
  <c r="C42" i="42" s="1"/>
  <c r="A173" i="42" l="1"/>
  <c r="A172" i="42"/>
  <c r="A171" i="42"/>
  <c r="B155" i="42" l="1"/>
  <c r="A115" i="42" l="1"/>
  <c r="A114" i="42"/>
  <c r="A113" i="42"/>
  <c r="B133" i="42"/>
  <c r="B131" i="42"/>
  <c r="B96" i="42"/>
  <c r="B76" i="42"/>
  <c r="A58" i="42"/>
  <c r="A57" i="42"/>
  <c r="A56" i="42"/>
  <c r="B95" i="42" l="1"/>
  <c r="D24" i="42"/>
  <c r="B130" i="42"/>
  <c r="B153" i="42"/>
  <c r="B74" i="42"/>
  <c r="B41" i="42"/>
  <c r="C41" i="42" l="1"/>
  <c r="D41" i="42"/>
  <c r="B94" i="42"/>
  <c r="E24" i="42"/>
  <c r="B129" i="42"/>
  <c r="B152" i="42"/>
  <c r="B73" i="42"/>
  <c r="B40" i="42"/>
  <c r="E40" i="42" l="1"/>
  <c r="C40" i="42"/>
  <c r="D40" i="42"/>
  <c r="B93" i="42"/>
  <c r="F24" i="42"/>
  <c r="B151" i="42"/>
  <c r="B128" i="42"/>
  <c r="B72" i="42"/>
  <c r="B39" i="42"/>
  <c r="E39" i="42" l="1"/>
  <c r="C39" i="42"/>
  <c r="F39" i="42"/>
  <c r="D39" i="42"/>
  <c r="B92" i="42"/>
  <c r="G24" i="42"/>
  <c r="B150" i="42"/>
  <c r="B127" i="42"/>
  <c r="B71" i="42"/>
  <c r="B38" i="42"/>
  <c r="G38" i="42" l="1"/>
  <c r="E38" i="42"/>
  <c r="D38" i="42"/>
  <c r="F38" i="42"/>
  <c r="B91" i="42"/>
  <c r="H24" i="42"/>
  <c r="B126" i="42"/>
  <c r="B149" i="42"/>
  <c r="B70" i="42"/>
  <c r="B37" i="42"/>
  <c r="Q25" i="17"/>
  <c r="A1" i="16"/>
  <c r="A1" i="13"/>
  <c r="G37" i="42" l="1"/>
  <c r="E37" i="42"/>
  <c r="H37" i="42"/>
  <c r="F37" i="42"/>
  <c r="B90" i="42"/>
  <c r="I24" i="42"/>
  <c r="B148" i="42"/>
  <c r="B125" i="42"/>
  <c r="B69" i="42"/>
  <c r="B36" i="42"/>
  <c r="I36" i="42" l="1"/>
  <c r="G36" i="42"/>
  <c r="H36" i="42"/>
  <c r="F36" i="42"/>
  <c r="B89" i="42"/>
  <c r="J24" i="42"/>
  <c r="B124" i="42"/>
  <c r="B147" i="42"/>
  <c r="B68" i="42"/>
  <c r="B35" i="42"/>
  <c r="H35" i="42" l="1"/>
  <c r="I35" i="42"/>
  <c r="G35" i="42"/>
  <c r="J35" i="42"/>
  <c r="B88" i="42"/>
  <c r="K24" i="42"/>
  <c r="B146" i="42"/>
  <c r="B123" i="42"/>
  <c r="B67" i="42"/>
  <c r="B34" i="42"/>
  <c r="I34" i="42" l="1"/>
  <c r="K34" i="42"/>
  <c r="J34" i="42"/>
  <c r="H34" i="42"/>
  <c r="B87" i="42"/>
  <c r="L24" i="42"/>
  <c r="B145" i="42"/>
  <c r="B66" i="42"/>
  <c r="B33" i="42"/>
  <c r="L33" i="42" l="1"/>
  <c r="I33" i="42"/>
  <c r="K33" i="42"/>
  <c r="J33" i="42"/>
  <c r="D32" i="42" l="1"/>
  <c r="E32" i="42" l="1"/>
  <c r="D144" i="42"/>
  <c r="D86" i="42"/>
  <c r="C178" i="42"/>
  <c r="D122" i="42"/>
  <c r="F32" i="42" l="1"/>
  <c r="D178" i="42"/>
  <c r="E86" i="42"/>
  <c r="E122" i="42"/>
  <c r="E144" i="42"/>
  <c r="B205" i="42"/>
  <c r="B210" i="42"/>
  <c r="B20" i="42"/>
  <c r="G32" i="42" l="1"/>
  <c r="E178" i="42"/>
  <c r="F122" i="42"/>
  <c r="F86" i="42"/>
  <c r="B206" i="42"/>
  <c r="B211" i="42"/>
  <c r="F144" i="42"/>
  <c r="F178" i="42"/>
  <c r="B19" i="42"/>
  <c r="K49" i="29"/>
  <c r="K48" i="29"/>
  <c r="K47" i="29"/>
  <c r="K46" i="29"/>
  <c r="H32" i="42" l="1"/>
  <c r="G144" i="42"/>
  <c r="G86" i="42"/>
  <c r="G122" i="42"/>
  <c r="G178" i="42"/>
  <c r="B18" i="42"/>
  <c r="K49" i="7"/>
  <c r="K48" i="7"/>
  <c r="K47" i="7"/>
  <c r="I32" i="42" l="1"/>
  <c r="H144" i="42"/>
  <c r="H86" i="42"/>
  <c r="H122" i="42"/>
  <c r="H178" i="42"/>
  <c r="B17" i="42"/>
  <c r="J32" i="42" l="1"/>
  <c r="I122" i="42"/>
  <c r="I86" i="42"/>
  <c r="I144" i="42"/>
  <c r="I178" i="42"/>
  <c r="B16" i="42"/>
  <c r="A11" i="7"/>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K32" i="42" l="1"/>
  <c r="J144" i="42"/>
  <c r="J122" i="42"/>
  <c r="J86" i="42"/>
  <c r="J178" i="42"/>
  <c r="B15" i="42"/>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L32" i="42" l="1"/>
  <c r="K122" i="42"/>
  <c r="K86" i="42"/>
  <c r="K144" i="42"/>
  <c r="K178" i="42"/>
  <c r="B14" i="42"/>
  <c r="A44" i="29" l="1"/>
  <c r="A43" i="29"/>
  <c r="A47" i="5"/>
  <c r="A48" i="5" s="1"/>
  <c r="G39" i="5"/>
  <c r="G38" i="5" s="1"/>
  <c r="G37" i="5" s="1"/>
  <c r="G36" i="5" s="1"/>
  <c r="G35" i="5" s="1"/>
  <c r="G34" i="5" s="1"/>
  <c r="G33" i="5" s="1"/>
  <c r="G32" i="5" s="1"/>
  <c r="G31" i="5" s="1"/>
  <c r="G30" i="5" s="1"/>
  <c r="G29" i="5" s="1"/>
  <c r="G28" i="5" s="1"/>
  <c r="G27" i="5" s="1"/>
  <c r="G26" i="5" s="1"/>
  <c r="G25" i="5" s="1"/>
  <c r="G24" i="5" s="1"/>
  <c r="G23" i="5" s="1"/>
  <c r="G22" i="5" s="1"/>
  <c r="G21" i="5" s="1"/>
  <c r="G20" i="5" s="1"/>
  <c r="G19" i="5" s="1"/>
  <c r="G18" i="5" s="1"/>
  <c r="G17" i="5" s="1"/>
  <c r="G16" i="5" s="1"/>
  <c r="G15" i="5" s="1"/>
  <c r="G14" i="5" s="1"/>
  <c r="G13" i="5" s="1"/>
  <c r="G12" i="5" s="1"/>
  <c r="G11" i="5" s="1"/>
  <c r="G10" i="5" s="1"/>
  <c r="B13" i="42"/>
  <c r="B12" i="42" l="1"/>
  <c r="A47" i="7"/>
  <c r="A48" i="7" s="1"/>
  <c r="M46" i="7" l="1"/>
  <c r="O11" i="8" l="1"/>
  <c r="A48" i="29"/>
  <c r="A47" i="29"/>
  <c r="A40" i="29"/>
  <c r="A39" i="29"/>
  <c r="A38" i="29"/>
  <c r="A37" i="29"/>
  <c r="A36" i="29"/>
  <c r="A35" i="29"/>
  <c r="A34" i="29"/>
  <c r="A33" i="29"/>
  <c r="A32" i="29"/>
  <c r="A31" i="29"/>
  <c r="A30" i="29"/>
  <c r="A28" i="29"/>
  <c r="A27" i="29"/>
  <c r="A25" i="29"/>
  <c r="A24" i="29"/>
  <c r="A23" i="29"/>
  <c r="A22" i="29"/>
  <c r="A21" i="29"/>
  <c r="A20" i="29"/>
  <c r="A19" i="29"/>
  <c r="A18" i="29"/>
  <c r="A17" i="29"/>
  <c r="A16" i="29"/>
  <c r="A15" i="29"/>
  <c r="A14" i="29"/>
  <c r="A13" i="29"/>
  <c r="A12" i="29"/>
  <c r="A11" i="29"/>
  <c r="M47" i="29"/>
  <c r="M48" i="7"/>
  <c r="M49" i="7"/>
  <c r="A14" i="28"/>
  <c r="A15" i="28" s="1"/>
  <c r="A16" i="28" s="1"/>
  <c r="A17" i="28" s="1"/>
  <c r="A18" i="28" s="1"/>
  <c r="A19" i="28" s="1"/>
  <c r="A20" i="28" s="1"/>
  <c r="A21" i="28" s="1"/>
  <c r="A22" i="28" s="1"/>
  <c r="B11" i="26"/>
  <c r="B12" i="26" s="1"/>
  <c r="M47" i="7"/>
  <c r="B10" i="27"/>
  <c r="B11" i="27"/>
  <c r="M46" i="29"/>
  <c r="G45" i="23"/>
  <c r="D45" i="22"/>
  <c r="B13" i="26" l="1"/>
  <c r="B13" i="27" s="1"/>
  <c r="B12" i="27"/>
  <c r="A28" i="2"/>
  <c r="B29" i="15"/>
  <c r="A23" i="28"/>
  <c r="A11" i="25"/>
  <c r="A9" i="24"/>
  <c r="B10" i="4"/>
  <c r="L47" i="29"/>
  <c r="L48" i="29"/>
  <c r="L46" i="29"/>
  <c r="A26" i="29"/>
  <c r="A29" i="29"/>
  <c r="M48" i="29"/>
  <c r="A10" i="29"/>
  <c r="L49" i="29"/>
  <c r="M49" i="29"/>
  <c r="B14" i="26" l="1"/>
  <c r="B15" i="26" s="1"/>
  <c r="A24" i="28"/>
  <c r="A25" i="28" s="1"/>
  <c r="A26" i="28" s="1"/>
  <c r="A27" i="2"/>
  <c r="A26" i="2" s="1"/>
  <c r="A29" i="10"/>
  <c r="A49" i="29"/>
  <c r="A8" i="23"/>
  <c r="B11" i="3"/>
  <c r="A1" i="17"/>
  <c r="A1" i="14"/>
  <c r="A10" i="24"/>
  <c r="A9" i="23"/>
  <c r="A9" i="22"/>
  <c r="A12" i="25"/>
  <c r="B11" i="4"/>
  <c r="A32" i="28" l="1"/>
  <c r="B12" i="3"/>
  <c r="B14" i="27"/>
  <c r="A15" i="18"/>
  <c r="A29" i="11"/>
  <c r="A28" i="10"/>
  <c r="D8" i="22"/>
  <c r="J9" i="22" s="1"/>
  <c r="C29" i="15"/>
  <c r="B16" i="26"/>
  <c r="B15" i="27"/>
  <c r="A25" i="2"/>
  <c r="D29" i="15"/>
  <c r="B12" i="4"/>
  <c r="A10" i="23"/>
  <c r="A10" i="22"/>
  <c r="A11" i="24"/>
  <c r="A13" i="25"/>
  <c r="D9" i="22"/>
  <c r="J10" i="22" s="1"/>
  <c r="A16" i="18" l="1"/>
  <c r="B13" i="3"/>
  <c r="A27" i="10"/>
  <c r="A28" i="11"/>
  <c r="A29" i="12"/>
  <c r="L8" i="22"/>
  <c r="B17" i="26"/>
  <c r="B16" i="27"/>
  <c r="A24" i="2"/>
  <c r="E29" i="15"/>
  <c r="L9" i="22"/>
  <c r="D10" i="22"/>
  <c r="J11" i="22" s="1"/>
  <c r="A12" i="24"/>
  <c r="A11" i="22"/>
  <c r="B13" i="4"/>
  <c r="A14" i="25"/>
  <c r="A11" i="23"/>
  <c r="A17" i="18" l="1"/>
  <c r="B14" i="3"/>
  <c r="A36" i="1"/>
  <c r="C41" i="13"/>
  <c r="A26" i="10"/>
  <c r="A27" i="11"/>
  <c r="A30" i="13"/>
  <c r="A27" i="16" s="1"/>
  <c r="A26" i="16" s="1"/>
  <c r="A25" i="16" s="1"/>
  <c r="A24" i="16" s="1"/>
  <c r="A23" i="16" s="1"/>
  <c r="A22" i="16" s="1"/>
  <c r="A21" i="16" s="1"/>
  <c r="A20" i="16" s="1"/>
  <c r="A19" i="16" s="1"/>
  <c r="A18" i="16" s="1"/>
  <c r="A17" i="16" s="1"/>
  <c r="A16" i="16" s="1"/>
  <c r="A15" i="16" s="1"/>
  <c r="A14" i="16" s="1"/>
  <c r="A13" i="16" s="1"/>
  <c r="A12" i="16" s="1"/>
  <c r="A11" i="16" s="1"/>
  <c r="A10" i="16" s="1"/>
  <c r="A9" i="16" s="1"/>
  <c r="A8" i="16" s="1"/>
  <c r="A7" i="16" s="1"/>
  <c r="A6" i="16" s="1"/>
  <c r="A5" i="16" s="1"/>
  <c r="A50" i="12"/>
  <c r="A28" i="12"/>
  <c r="B17" i="27"/>
  <c r="B18" i="26"/>
  <c r="A23" i="2"/>
  <c r="L10" i="22"/>
  <c r="F29" i="15"/>
  <c r="A13" i="24"/>
  <c r="B14" i="4"/>
  <c r="A15" i="25"/>
  <c r="A12" i="23"/>
  <c r="A12" i="22"/>
  <c r="D11" i="22"/>
  <c r="J12" i="22" s="1"/>
  <c r="A18" i="18" l="1"/>
  <c r="B15" i="3"/>
  <c r="I38" i="1"/>
  <c r="B43" i="18"/>
  <c r="A35" i="1"/>
  <c r="A25" i="10"/>
  <c r="A26" i="11"/>
  <c r="A29" i="13"/>
  <c r="A49" i="12"/>
  <c r="A27" i="12"/>
  <c r="B18" i="27"/>
  <c r="B19" i="26"/>
  <c r="A22" i="2"/>
  <c r="G29" i="15"/>
  <c r="D12" i="22"/>
  <c r="J13" i="22" s="1"/>
  <c r="A13" i="23"/>
  <c r="A16" i="25"/>
  <c r="A13" i="22"/>
  <c r="A14" i="24"/>
  <c r="B15" i="4"/>
  <c r="L11" i="22"/>
  <c r="B16" i="3" l="1"/>
  <c r="A19" i="18"/>
  <c r="I37" i="1"/>
  <c r="B42" i="18"/>
  <c r="A34" i="1"/>
  <c r="B48" i="16"/>
  <c r="A24" i="10"/>
  <c r="A25" i="11"/>
  <c r="A26" i="12"/>
  <c r="A48" i="12"/>
  <c r="A28" i="13"/>
  <c r="D41" i="13"/>
  <c r="B20" i="26"/>
  <c r="B19" i="27"/>
  <c r="A21" i="2"/>
  <c r="H29" i="15"/>
  <c r="L12" i="22"/>
  <c r="A17" i="25"/>
  <c r="B16" i="4"/>
  <c r="A14" i="23"/>
  <c r="A14" i="22"/>
  <c r="A15" i="24"/>
  <c r="D13" i="22"/>
  <c r="J14" i="22" s="1"/>
  <c r="B17" i="3" l="1"/>
  <c r="A20" i="18"/>
  <c r="I36" i="1"/>
  <c r="B41" i="18"/>
  <c r="A33" i="1"/>
  <c r="E41" i="13"/>
  <c r="A23" i="10"/>
  <c r="A25" i="12"/>
  <c r="A47" i="12"/>
  <c r="A27" i="13"/>
  <c r="A24" i="11"/>
  <c r="L13" i="22"/>
  <c r="C48" i="16"/>
  <c r="B21" i="26"/>
  <c r="B20" i="27"/>
  <c r="A20" i="2"/>
  <c r="I29" i="15"/>
  <c r="D14" i="22"/>
  <c r="J15" i="22" s="1"/>
  <c r="A16" i="24"/>
  <c r="A15" i="22"/>
  <c r="B17" i="4"/>
  <c r="A18" i="25"/>
  <c r="A15" i="23"/>
  <c r="B18" i="3"/>
  <c r="A21" i="18" l="1"/>
  <c r="I35" i="1"/>
  <c r="B40" i="18"/>
  <c r="A32" i="1"/>
  <c r="F41" i="13"/>
  <c r="A22" i="10"/>
  <c r="A26" i="13"/>
  <c r="A23" i="11"/>
  <c r="A46" i="12"/>
  <c r="A24" i="12"/>
  <c r="D48" i="16"/>
  <c r="B22" i="26"/>
  <c r="B21" i="27"/>
  <c r="A19" i="2"/>
  <c r="J29" i="15"/>
  <c r="A16" i="22"/>
  <c r="A19" i="25"/>
  <c r="A16" i="23"/>
  <c r="A17" i="24"/>
  <c r="B18" i="4"/>
  <c r="D15" i="22"/>
  <c r="J16" i="22" s="1"/>
  <c r="L14" i="22"/>
  <c r="A22" i="18"/>
  <c r="B19" i="3"/>
  <c r="D40" i="18" l="1"/>
  <c r="I34" i="1"/>
  <c r="B39" i="18"/>
  <c r="A31" i="1"/>
  <c r="G41" i="13"/>
  <c r="G32" i="13" s="1"/>
  <c r="A21" i="10"/>
  <c r="A22" i="11"/>
  <c r="A25" i="13"/>
  <c r="A45" i="12"/>
  <c r="A23" i="12"/>
  <c r="B23" i="26"/>
  <c r="B22" i="27"/>
  <c r="A18" i="2"/>
  <c r="K29" i="15"/>
  <c r="D16" i="22"/>
  <c r="J17" i="22" s="1"/>
  <c r="L15" i="22"/>
  <c r="A18" i="24"/>
  <c r="A17" i="23"/>
  <c r="A17" i="22"/>
  <c r="A20" i="25"/>
  <c r="B19" i="4"/>
  <c r="A23" i="18"/>
  <c r="B20" i="3"/>
  <c r="D39" i="18" l="1"/>
  <c r="I33" i="1"/>
  <c r="B38" i="18"/>
  <c r="A30" i="1"/>
  <c r="L16" i="22"/>
  <c r="A20" i="10"/>
  <c r="A24" i="13"/>
  <c r="A21" i="11"/>
  <c r="A44" i="12"/>
  <c r="A22" i="12"/>
  <c r="F48" i="16"/>
  <c r="E48" i="16"/>
  <c r="B24" i="26"/>
  <c r="B23" i="27"/>
  <c r="A17" i="2"/>
  <c r="L29" i="15"/>
  <c r="A18" i="22"/>
  <c r="A21" i="25"/>
  <c r="A19" i="24"/>
  <c r="B20" i="4"/>
  <c r="A18" i="23"/>
  <c r="D17" i="22"/>
  <c r="J18" i="22" s="1"/>
  <c r="B21" i="3"/>
  <c r="A24" i="18"/>
  <c r="D24" i="18" l="1"/>
  <c r="E19" i="18"/>
  <c r="G29" i="16"/>
  <c r="D38" i="18"/>
  <c r="I32" i="1"/>
  <c r="B37" i="18"/>
  <c r="A29" i="1"/>
  <c r="A19" i="10"/>
  <c r="A43" i="12"/>
  <c r="A21" i="12"/>
  <c r="A20" i="11"/>
  <c r="A23" i="13"/>
  <c r="L17" i="22"/>
  <c r="B25" i="26"/>
  <c r="B24" i="27"/>
  <c r="A16" i="2"/>
  <c r="M29" i="15"/>
  <c r="A20" i="24"/>
  <c r="A19" i="22"/>
  <c r="A22" i="25"/>
  <c r="A19" i="23"/>
  <c r="B21" i="4"/>
  <c r="D18" i="22"/>
  <c r="J19" i="22" s="1"/>
  <c r="A25" i="18"/>
  <c r="D22" i="18" s="1"/>
  <c r="B22" i="3"/>
  <c r="E18" i="18" l="1"/>
  <c r="D19" i="18"/>
  <c r="E24" i="18"/>
  <c r="D20" i="18"/>
  <c r="E22" i="18"/>
  <c r="A26" i="18"/>
  <c r="A27" i="18" s="1"/>
  <c r="A28" i="18" s="1"/>
  <c r="A29" i="18" s="1"/>
  <c r="A30" i="18" s="1"/>
  <c r="A31" i="18" s="1"/>
  <c r="A32" i="18" s="1"/>
  <c r="A33" i="18" s="1"/>
  <c r="A34" i="18" s="1"/>
  <c r="A35" i="18" s="1"/>
  <c r="A36" i="18" s="1"/>
  <c r="A37" i="18" s="1"/>
  <c r="A38" i="18" s="1"/>
  <c r="A39" i="18" s="1"/>
  <c r="A40" i="18" s="1"/>
  <c r="A41" i="18" s="1"/>
  <c r="D25" i="18"/>
  <c r="E25" i="18"/>
  <c r="D14" i="18"/>
  <c r="E15" i="18"/>
  <c r="E13" i="18"/>
  <c r="F13" i="18" s="1"/>
  <c r="G13" i="18" s="1"/>
  <c r="D12" i="18"/>
  <c r="D13" i="18"/>
  <c r="E12" i="18"/>
  <c r="D16" i="18"/>
  <c r="D17" i="18"/>
  <c r="D15" i="18"/>
  <c r="E14" i="18"/>
  <c r="E16" i="18"/>
  <c r="D18" i="18"/>
  <c r="E17" i="18"/>
  <c r="D23" i="18"/>
  <c r="E23" i="18"/>
  <c r="E21" i="18"/>
  <c r="D21" i="18"/>
  <c r="E20" i="18"/>
  <c r="D37" i="18"/>
  <c r="I31" i="1"/>
  <c r="B36" i="18"/>
  <c r="A28" i="1"/>
  <c r="A18" i="10"/>
  <c r="A19" i="11"/>
  <c r="A22" i="13"/>
  <c r="A20" i="12"/>
  <c r="A42" i="12"/>
  <c r="L18" i="22"/>
  <c r="B26" i="26"/>
  <c r="B25" i="27"/>
  <c r="A15" i="2"/>
  <c r="N29" i="15"/>
  <c r="A21" i="24"/>
  <c r="A23" i="25"/>
  <c r="A20" i="23"/>
  <c r="A20" i="22"/>
  <c r="B22" i="4"/>
  <c r="D19" i="22"/>
  <c r="J20" i="22" s="1"/>
  <c r="A42" i="18"/>
  <c r="B23" i="3"/>
  <c r="D36" i="18" l="1"/>
  <c r="I30" i="1"/>
  <c r="B35" i="18"/>
  <c r="A27" i="1"/>
  <c r="A17" i="10"/>
  <c r="A21" i="13"/>
  <c r="A41" i="12"/>
  <c r="A19" i="12"/>
  <c r="A18" i="11"/>
  <c r="B26" i="27"/>
  <c r="B27" i="26"/>
  <c r="A14" i="2"/>
  <c r="L19" i="22"/>
  <c r="O29" i="15"/>
  <c r="A24" i="25"/>
  <c r="A21" i="22"/>
  <c r="A21" i="23"/>
  <c r="B23" i="4"/>
  <c r="A22" i="24"/>
  <c r="D20" i="22"/>
  <c r="J21" i="22" s="1"/>
  <c r="A43" i="18"/>
  <c r="A44" i="18" s="1"/>
  <c r="A45" i="18" s="1"/>
  <c r="A46" i="18" s="1"/>
  <c r="B24" i="3"/>
  <c r="D35" i="18" l="1"/>
  <c r="I29" i="1"/>
  <c r="B34" i="18"/>
  <c r="A26" i="1"/>
  <c r="A16" i="10"/>
  <c r="A18" i="12"/>
  <c r="A40" i="12"/>
  <c r="A17" i="11"/>
  <c r="A20" i="13"/>
  <c r="B28" i="26"/>
  <c r="B27" i="27"/>
  <c r="A13" i="2"/>
  <c r="L20" i="22"/>
  <c r="P29" i="15"/>
  <c r="B24" i="4"/>
  <c r="A22" i="22"/>
  <c r="A23" i="24"/>
  <c r="A25" i="25"/>
  <c r="A22" i="23"/>
  <c r="D21" i="22"/>
  <c r="J22" i="22" s="1"/>
  <c r="B25" i="3"/>
  <c r="D34" i="18" l="1"/>
  <c r="I28" i="1"/>
  <c r="B33" i="18"/>
  <c r="A25" i="1"/>
  <c r="A15" i="10"/>
  <c r="A17" i="12"/>
  <c r="A39" i="12"/>
  <c r="A19" i="13"/>
  <c r="A16" i="11"/>
  <c r="B29" i="26"/>
  <c r="B28" i="27"/>
  <c r="A26" i="19"/>
  <c r="A12" i="2"/>
  <c r="L21" i="22"/>
  <c r="Q29" i="15"/>
  <c r="D22" i="22"/>
  <c r="J23" i="22" s="1"/>
  <c r="A23" i="23"/>
  <c r="A24" i="24"/>
  <c r="A26" i="25"/>
  <c r="A23" i="22"/>
  <c r="B25" i="4"/>
  <c r="B26" i="3"/>
  <c r="D33" i="18" l="1"/>
  <c r="I27" i="1"/>
  <c r="B32" i="18"/>
  <c r="A24" i="1"/>
  <c r="A14" i="10"/>
  <c r="A16" i="12"/>
  <c r="A38" i="12"/>
  <c r="A15" i="11"/>
  <c r="A18" i="13"/>
  <c r="B29" i="27"/>
  <c r="B30" i="26"/>
  <c r="A26" i="20"/>
  <c r="A25" i="19"/>
  <c r="A11" i="2"/>
  <c r="L22" i="22"/>
  <c r="R29" i="15"/>
  <c r="B26" i="4"/>
  <c r="A24" i="22"/>
  <c r="A25" i="24"/>
  <c r="A27" i="25"/>
  <c r="A24" i="23"/>
  <c r="D23" i="22"/>
  <c r="J24" i="22" s="1"/>
  <c r="B27" i="3"/>
  <c r="D32" i="18" l="1"/>
  <c r="I26" i="1"/>
  <c r="B31" i="18"/>
  <c r="A23" i="1"/>
  <c r="A13" i="10"/>
  <c r="A14" i="11"/>
  <c r="A15" i="12"/>
  <c r="A37" i="12"/>
  <c r="A17" i="13"/>
  <c r="B31" i="26"/>
  <c r="B30" i="27"/>
  <c r="A24" i="19"/>
  <c r="A10" i="2"/>
  <c r="A25" i="20"/>
  <c r="A26" i="21"/>
  <c r="L23" i="22"/>
  <c r="D24" i="22"/>
  <c r="J25" i="22" s="1"/>
  <c r="A25" i="23"/>
  <c r="B27" i="4"/>
  <c r="A28" i="25"/>
  <c r="A26" i="24"/>
  <c r="A25" i="22"/>
  <c r="B28" i="3"/>
  <c r="D31" i="18" l="1"/>
  <c r="I25" i="1"/>
  <c r="B30" i="18"/>
  <c r="A22" i="1"/>
  <c r="A12" i="10"/>
  <c r="A16" i="13"/>
  <c r="A14" i="12"/>
  <c r="A36" i="12"/>
  <c r="A13" i="11"/>
  <c r="B32" i="26"/>
  <c r="B31" i="27"/>
  <c r="A24" i="20"/>
  <c r="A23" i="19"/>
  <c r="A9" i="2"/>
  <c r="A25" i="21"/>
  <c r="A26" i="15"/>
  <c r="L24" i="22"/>
  <c r="D25" i="22"/>
  <c r="J26" i="22" s="1"/>
  <c r="A27" i="24"/>
  <c r="A26" i="22"/>
  <c r="A29" i="25"/>
  <c r="A26" i="23"/>
  <c r="B28" i="4"/>
  <c r="B29" i="3"/>
  <c r="D30" i="18" l="1"/>
  <c r="I24" i="1"/>
  <c r="B29" i="18"/>
  <c r="A21" i="1"/>
  <c r="A11" i="10"/>
  <c r="A35" i="12"/>
  <c r="A13" i="12"/>
  <c r="A15" i="13"/>
  <c r="A12" i="11"/>
  <c r="L25" i="22"/>
  <c r="B33" i="26"/>
  <c r="B32" i="27"/>
  <c r="A25" i="15"/>
  <c r="A51" i="15"/>
  <c r="A23" i="20"/>
  <c r="A24" i="21"/>
  <c r="A8" i="2"/>
  <c r="A22" i="19"/>
  <c r="A27" i="22"/>
  <c r="A30" i="25"/>
  <c r="A27" i="23"/>
  <c r="B29" i="4"/>
  <c r="A28" i="24"/>
  <c r="D26" i="22"/>
  <c r="J27" i="22" s="1"/>
  <c r="B30" i="3"/>
  <c r="D29" i="18" l="1"/>
  <c r="I23" i="1"/>
  <c r="B28" i="18"/>
  <c r="A20" i="1"/>
  <c r="A10" i="10"/>
  <c r="A11" i="11"/>
  <c r="A14" i="13"/>
  <c r="A12" i="12"/>
  <c r="A34" i="12"/>
  <c r="B33" i="27"/>
  <c r="B34" i="26"/>
  <c r="A21" i="19"/>
  <c r="A22" i="20"/>
  <c r="A7" i="2"/>
  <c r="A23" i="21"/>
  <c r="A50" i="15"/>
  <c r="A24" i="15"/>
  <c r="L26" i="22"/>
  <c r="B30" i="4"/>
  <c r="A29" i="24"/>
  <c r="A28" i="23"/>
  <c r="A28" i="22"/>
  <c r="A31" i="25"/>
  <c r="D27" i="22"/>
  <c r="J28" i="22" s="1"/>
  <c r="B31" i="3"/>
  <c r="D28" i="18" l="1"/>
  <c r="I22" i="1"/>
  <c r="B27" i="18"/>
  <c r="A19" i="1"/>
  <c r="A9" i="10"/>
  <c r="A13" i="13"/>
  <c r="A10" i="11"/>
  <c r="A33" i="12"/>
  <c r="A11" i="12"/>
  <c r="L27" i="22"/>
  <c r="B34" i="27"/>
  <c r="B35" i="26"/>
  <c r="A49" i="15"/>
  <c r="A23" i="15"/>
  <c r="A22" i="21"/>
  <c r="A6" i="2"/>
  <c r="A20" i="19"/>
  <c r="A21" i="20"/>
  <c r="D28" i="22"/>
  <c r="J29" i="22" s="1"/>
  <c r="A29" i="23"/>
  <c r="A29" i="22"/>
  <c r="A30" i="24"/>
  <c r="B31" i="4"/>
  <c r="A32" i="25"/>
  <c r="B32" i="3"/>
  <c r="D27" i="18" l="1"/>
  <c r="I21" i="1"/>
  <c r="B26" i="18"/>
  <c r="A18" i="1"/>
  <c r="A8" i="10"/>
  <c r="A10" i="12"/>
  <c r="A12" i="13"/>
  <c r="A9" i="11"/>
  <c r="B36" i="26"/>
  <c r="B35" i="27"/>
  <c r="A5" i="2"/>
  <c r="A19" i="19"/>
  <c r="A21" i="21"/>
  <c r="A48" i="15"/>
  <c r="A22" i="15"/>
  <c r="A20" i="20"/>
  <c r="L28" i="22"/>
  <c r="A33" i="25"/>
  <c r="A31" i="24"/>
  <c r="B32" i="4"/>
  <c r="A30" i="23"/>
  <c r="A30" i="22"/>
  <c r="D29" i="22"/>
  <c r="J30" i="22" s="1"/>
  <c r="B33" i="3"/>
  <c r="D26" i="18" l="1"/>
  <c r="I20" i="1"/>
  <c r="B25" i="18"/>
  <c r="A17" i="1"/>
  <c r="A7" i="10"/>
  <c r="A8" i="11"/>
  <c r="A9" i="12"/>
  <c r="A11" i="13"/>
  <c r="B37" i="26"/>
  <c r="B36" i="27"/>
  <c r="A19" i="20"/>
  <c r="A20" i="21"/>
  <c r="A18" i="19"/>
  <c r="A21" i="15"/>
  <c r="A47" i="15"/>
  <c r="D30" i="22"/>
  <c r="J31" i="22" s="1"/>
  <c r="B33" i="4"/>
  <c r="A32" i="24"/>
  <c r="A31" i="22"/>
  <c r="A31" i="23"/>
  <c r="A34" i="25"/>
  <c r="L29" i="22"/>
  <c r="B34" i="3"/>
  <c r="B24" i="18" l="1"/>
  <c r="I19" i="1"/>
  <c r="A16" i="1"/>
  <c r="A6" i="10"/>
  <c r="A7" i="11"/>
  <c r="A8" i="12"/>
  <c r="A10" i="13"/>
  <c r="B38" i="26"/>
  <c r="B37" i="27"/>
  <c r="A19" i="21"/>
  <c r="A17" i="19"/>
  <c r="A46" i="15"/>
  <c r="A20" i="15"/>
  <c r="A18" i="20"/>
  <c r="D31" i="22"/>
  <c r="J32" i="22" s="1"/>
  <c r="B34" i="4"/>
  <c r="A33" i="24"/>
  <c r="A32" i="22"/>
  <c r="A35" i="25"/>
  <c r="A32" i="23"/>
  <c r="L30" i="22"/>
  <c r="B35" i="3"/>
  <c r="B38" i="27" l="1"/>
  <c r="B23" i="18"/>
  <c r="I18" i="1"/>
  <c r="A15" i="1"/>
  <c r="A5" i="10"/>
  <c r="A6" i="11"/>
  <c r="A9" i="13"/>
  <c r="A21" i="14" s="1"/>
  <c r="A7" i="12"/>
  <c r="A45" i="15"/>
  <c r="A19" i="15"/>
  <c r="A18" i="21"/>
  <c r="A17" i="20"/>
  <c r="A16" i="19"/>
  <c r="D32" i="22"/>
  <c r="J33" i="22" s="1"/>
  <c r="A34" i="24"/>
  <c r="A36" i="25"/>
  <c r="B35" i="4"/>
  <c r="A33" i="23"/>
  <c r="A33" i="22"/>
  <c r="L31" i="22"/>
  <c r="B36" i="3"/>
  <c r="B22" i="18" l="1"/>
  <c r="I17" i="1"/>
  <c r="A14" i="1"/>
  <c r="A6" i="12"/>
  <c r="A8" i="13"/>
  <c r="A5" i="11"/>
  <c r="A16" i="20"/>
  <c r="A17" i="21"/>
  <c r="A44" i="15"/>
  <c r="A18" i="15"/>
  <c r="A15" i="19"/>
  <c r="D33" i="22"/>
  <c r="J34" i="22" s="1"/>
  <c r="L32" i="22"/>
  <c r="A34" i="23"/>
  <c r="B36" i="4"/>
  <c r="A34" i="22"/>
  <c r="A37" i="25"/>
  <c r="A35" i="24"/>
  <c r="B37" i="3"/>
  <c r="B21" i="18" l="1"/>
  <c r="I16" i="1"/>
  <c r="A13" i="1"/>
  <c r="L33" i="22"/>
  <c r="A7" i="13"/>
  <c r="A5" i="12"/>
  <c r="A20" i="14"/>
  <c r="A14" i="19"/>
  <c r="A43" i="15"/>
  <c r="A17" i="15"/>
  <c r="A16" i="21"/>
  <c r="A15" i="20"/>
  <c r="A35" i="23"/>
  <c r="A38" i="25"/>
  <c r="A35" i="22"/>
  <c r="A36" i="24"/>
  <c r="B37" i="4"/>
  <c r="D34" i="22"/>
  <c r="J35" i="22" s="1"/>
  <c r="B38" i="3"/>
  <c r="B20" i="18" l="1"/>
  <c r="I15" i="1"/>
  <c r="A12" i="1"/>
  <c r="A6" i="13"/>
  <c r="A19" i="14"/>
  <c r="A14" i="20"/>
  <c r="A42" i="15"/>
  <c r="A16" i="15"/>
  <c r="A15" i="21"/>
  <c r="A13" i="19"/>
  <c r="B38" i="4"/>
  <c r="A37" i="24"/>
  <c r="A39" i="25"/>
  <c r="A36" i="23"/>
  <c r="A36" i="22"/>
  <c r="D35" i="22"/>
  <c r="J36" i="22" s="1"/>
  <c r="B39" i="3"/>
  <c r="B19" i="18" l="1"/>
  <c r="I14" i="1"/>
  <c r="A11" i="1"/>
  <c r="A18" i="14"/>
  <c r="A5" i="13"/>
  <c r="A12" i="19"/>
  <c r="A13" i="20"/>
  <c r="A41" i="15"/>
  <c r="A15" i="15"/>
  <c r="A14" i="21"/>
  <c r="L35" i="22"/>
  <c r="D36" i="22"/>
  <c r="J37" i="22" s="1"/>
  <c r="A40" i="25"/>
  <c r="A37" i="23"/>
  <c r="A37" i="22"/>
  <c r="B39" i="4"/>
  <c r="A38" i="24"/>
  <c r="B40" i="3"/>
  <c r="B41" i="3" l="1"/>
  <c r="B18" i="18"/>
  <c r="I13" i="1"/>
  <c r="A10" i="1"/>
  <c r="A17" i="14"/>
  <c r="A13" i="21"/>
  <c r="A14" i="15"/>
  <c r="A40" i="15"/>
  <c r="A12" i="20"/>
  <c r="A11" i="19"/>
  <c r="L36" i="22"/>
  <c r="D37" i="22"/>
  <c r="J38" i="22" s="1"/>
  <c r="A41" i="25"/>
  <c r="A38" i="22"/>
  <c r="A38" i="23"/>
  <c r="B40" i="4"/>
  <c r="A42" i="25" s="1"/>
  <c r="A39" i="24"/>
  <c r="D37" i="3" l="1"/>
  <c r="B17" i="18"/>
  <c r="I12" i="1"/>
  <c r="A9" i="1"/>
  <c r="A16" i="14"/>
  <c r="A11" i="20"/>
  <c r="A39" i="15"/>
  <c r="A13" i="15"/>
  <c r="A12" i="21"/>
  <c r="A10" i="19"/>
  <c r="A9" i="19" s="1"/>
  <c r="L37" i="22"/>
  <c r="D38" i="22"/>
  <c r="J39" i="22" s="1"/>
  <c r="A39" i="22"/>
  <c r="A40" i="24"/>
  <c r="B41" i="4"/>
  <c r="A39" i="23"/>
  <c r="B16" i="18" l="1"/>
  <c r="I11" i="1"/>
  <c r="A8" i="1"/>
  <c r="B42" i="4"/>
  <c r="A41" i="24"/>
  <c r="A40" i="23"/>
  <c r="A15" i="14"/>
  <c r="A10" i="20"/>
  <c r="A11" i="21"/>
  <c r="A12" i="15"/>
  <c r="A38" i="15"/>
  <c r="A40" i="22"/>
  <c r="D39" i="22"/>
  <c r="J40" i="22" s="1"/>
  <c r="L38" i="22"/>
  <c r="B15" i="18" l="1"/>
  <c r="I10" i="1"/>
  <c r="A7" i="1"/>
  <c r="A6" i="1" s="1"/>
  <c r="A41" i="22"/>
  <c r="A42" i="24"/>
  <c r="A41" i="23"/>
  <c r="A14" i="14"/>
  <c r="A10" i="21"/>
  <c r="A9" i="20"/>
  <c r="A8" i="20" s="1"/>
  <c r="A11" i="15"/>
  <c r="A37" i="15"/>
  <c r="D40" i="22"/>
  <c r="J41" i="22" s="1"/>
  <c r="L39" i="22"/>
  <c r="G43" i="29" l="1"/>
  <c r="B14" i="18"/>
  <c r="I9" i="1"/>
  <c r="G40" i="23"/>
  <c r="D41" i="22"/>
  <c r="J42" i="22" s="1"/>
  <c r="A45" i="22"/>
  <c r="A13" i="14"/>
  <c r="L40" i="22"/>
  <c r="A9" i="21"/>
  <c r="A8" i="21" s="1"/>
  <c r="A36" i="15"/>
  <c r="A10" i="15"/>
  <c r="G44" i="29" l="1"/>
  <c r="L41" i="22"/>
  <c r="I8" i="1"/>
  <c r="A45" i="23"/>
  <c r="A46" i="24"/>
  <c r="C41" i="24"/>
  <c r="G41" i="23"/>
  <c r="E42" i="24" s="1"/>
  <c r="E41" i="24"/>
  <c r="C34" i="24"/>
  <c r="C42" i="24"/>
  <c r="A12" i="14"/>
  <c r="C39" i="24"/>
  <c r="C17" i="24"/>
  <c r="C29" i="24"/>
  <c r="C23" i="24"/>
  <c r="C15" i="24"/>
  <c r="A35" i="15"/>
  <c r="A9" i="15"/>
  <c r="A8" i="15" s="1"/>
  <c r="C13" i="24"/>
  <c r="C30" i="24"/>
  <c r="C25" i="24"/>
  <c r="C22" i="24"/>
  <c r="C21" i="24"/>
  <c r="C19" i="24"/>
  <c r="C11" i="24"/>
  <c r="C10" i="24"/>
  <c r="C38" i="24"/>
  <c r="C35" i="24"/>
  <c r="C37" i="24"/>
  <c r="C31" i="24"/>
  <c r="C26" i="24"/>
  <c r="C28" i="24"/>
  <c r="C27" i="24"/>
  <c r="C20" i="24"/>
  <c r="C18" i="24"/>
  <c r="C16" i="24"/>
  <c r="C24" i="24"/>
  <c r="C14" i="24"/>
  <c r="C12" i="24"/>
  <c r="C9" i="24"/>
  <c r="C36" i="24"/>
  <c r="C33" i="24"/>
  <c r="C32" i="24"/>
  <c r="C40" i="24"/>
  <c r="J45" i="22" l="1"/>
  <c r="L45" i="22" s="1"/>
  <c r="C46" i="24" s="1"/>
  <c r="A33" i="15"/>
  <c r="I7" i="1"/>
  <c r="E46" i="24"/>
  <c r="C9" i="25"/>
  <c r="B51" i="24"/>
  <c r="G41" i="24"/>
  <c r="G42" i="24"/>
  <c r="A11" i="14"/>
  <c r="A34" i="15"/>
  <c r="G46" i="24" l="1"/>
  <c r="A10" i="14"/>
  <c r="I44" i="24" l="1"/>
  <c r="A9" i="14"/>
  <c r="A8" i="14" s="1"/>
  <c r="I41" i="24" l="1"/>
  <c r="E44" i="29"/>
  <c r="I40" i="24" l="1"/>
  <c r="E43" i="29"/>
  <c r="G19" i="23"/>
  <c r="G8" i="23"/>
  <c r="G15" i="23"/>
  <c r="G22" i="23"/>
  <c r="G30" i="23"/>
  <c r="G26" i="23"/>
  <c r="G23" i="23"/>
  <c r="G16" i="23"/>
  <c r="G12" i="23"/>
  <c r="G31" i="23"/>
  <c r="G24" i="23"/>
  <c r="G10" i="23"/>
  <c r="G27" i="23"/>
  <c r="G14" i="23"/>
  <c r="G32" i="23" l="1"/>
  <c r="E11" i="24"/>
  <c r="E27" i="24"/>
  <c r="E9" i="24"/>
  <c r="E13" i="24"/>
  <c r="G36" i="23"/>
  <c r="E25" i="24"/>
  <c r="E31" i="24"/>
  <c r="G39" i="23"/>
  <c r="G34" i="23"/>
  <c r="E15" i="24"/>
  <c r="G11" i="23"/>
  <c r="E17" i="24"/>
  <c r="E23" i="24"/>
  <c r="G35" i="23"/>
  <c r="G38" i="23"/>
  <c r="E28" i="24"/>
  <c r="E24" i="24"/>
  <c r="E16" i="24"/>
  <c r="E20" i="24"/>
  <c r="G28" i="23"/>
  <c r="E32" i="24"/>
  <c r="E29" i="24" l="1"/>
  <c r="G15" i="24"/>
  <c r="G9" i="24"/>
  <c r="G28" i="24"/>
  <c r="G31" i="24"/>
  <c r="G13" i="23"/>
  <c r="G20" i="23"/>
  <c r="G17" i="23"/>
  <c r="G25" i="23"/>
  <c r="G23" i="24"/>
  <c r="E35" i="24"/>
  <c r="G27" i="24"/>
  <c r="G20" i="24"/>
  <c r="E39" i="24"/>
  <c r="G25" i="24"/>
  <c r="G29" i="23"/>
  <c r="G9" i="23"/>
  <c r="G11" i="24"/>
  <c r="G16" i="24"/>
  <c r="G17" i="24"/>
  <c r="E40" i="24"/>
  <c r="E37" i="24"/>
  <c r="G37" i="23"/>
  <c r="G18" i="23"/>
  <c r="G21" i="23"/>
  <c r="G24" i="24"/>
  <c r="E36" i="24"/>
  <c r="E12" i="24"/>
  <c r="G13" i="24"/>
  <c r="E33" i="24"/>
  <c r="G32" i="24"/>
  <c r="G35" i="24" l="1"/>
  <c r="E21" i="24"/>
  <c r="G37" i="24"/>
  <c r="G39" i="24"/>
  <c r="E14" i="24"/>
  <c r="G33" i="24"/>
  <c r="E22" i="24"/>
  <c r="G40" i="24"/>
  <c r="I39" i="24" s="1"/>
  <c r="E26" i="24"/>
  <c r="G12" i="24"/>
  <c r="E19" i="24"/>
  <c r="E10" i="24"/>
  <c r="G36" i="24"/>
  <c r="E38" i="24"/>
  <c r="E30" i="24"/>
  <c r="E18" i="24"/>
  <c r="G29" i="24"/>
  <c r="I38" i="24" l="1"/>
  <c r="G10" i="24"/>
  <c r="G18" i="24"/>
  <c r="G22" i="24"/>
  <c r="G19" i="24"/>
  <c r="G21" i="24"/>
  <c r="G38" i="24"/>
  <c r="G14" i="24"/>
  <c r="G30" i="24"/>
  <c r="G26" i="24"/>
  <c r="I37" i="24" l="1"/>
  <c r="I36" i="24" s="1"/>
  <c r="I35" i="24" s="1"/>
  <c r="I34" i="24" s="1"/>
  <c r="G33" i="23" l="1"/>
  <c r="E34" i="24" l="1"/>
  <c r="G34" i="24" l="1"/>
  <c r="I33" i="24" s="1"/>
  <c r="I32" i="24" s="1"/>
  <c r="I31" i="24" s="1"/>
  <c r="I30" i="24" s="1"/>
  <c r="I29" i="24" s="1"/>
  <c r="I28" i="24" s="1"/>
  <c r="I27" i="24" s="1"/>
  <c r="I26" i="24" s="1"/>
  <c r="I25" i="24" s="1"/>
  <c r="I24" i="24" s="1"/>
  <c r="I23" i="24" s="1"/>
  <c r="I22" i="24" s="1"/>
  <c r="I21" i="24" s="1"/>
  <c r="I20" i="24" s="1"/>
  <c r="I19" i="24" s="1"/>
  <c r="I18" i="24" s="1"/>
  <c r="I17" i="24" s="1"/>
  <c r="I16" i="24" s="1"/>
  <c r="I15" i="24" s="1"/>
  <c r="I14" i="24" s="1"/>
  <c r="I13" i="24" s="1"/>
  <c r="I12" i="24" s="1"/>
  <c r="I11" i="24" s="1"/>
  <c r="I10" i="24" s="1"/>
  <c r="I9" i="24" s="1"/>
  <c r="E40" i="29" l="1"/>
  <c r="E39" i="29" l="1"/>
  <c r="E38" i="29" l="1"/>
  <c r="E37" i="29" l="1"/>
  <c r="E36" i="29" l="1"/>
  <c r="E35" i="29" l="1"/>
  <c r="E34" i="29" l="1"/>
  <c r="E33" i="29" l="1"/>
  <c r="E32" i="29" l="1"/>
  <c r="E31" i="29" l="1"/>
  <c r="E30" i="29" l="1"/>
  <c r="E29" i="29" l="1"/>
  <c r="E28" i="29" l="1"/>
  <c r="E27" i="29" l="1"/>
  <c r="E26" i="29" l="1"/>
  <c r="E25" i="29" l="1"/>
  <c r="E24" i="29" l="1"/>
  <c r="E23" i="29" l="1"/>
  <c r="E22" i="29" l="1"/>
  <c r="E21" i="29" l="1"/>
  <c r="E20" i="29" l="1"/>
  <c r="E19" i="29" l="1"/>
  <c r="E18" i="29" l="1"/>
  <c r="E17" i="29" l="1"/>
  <c r="E16" i="29" l="1"/>
  <c r="E15" i="29" l="1"/>
  <c r="E14" i="29" l="1"/>
  <c r="E13" i="29" l="1"/>
  <c r="E12" i="29" l="1"/>
  <c r="E11" i="29" l="1"/>
  <c r="E10" i="29" l="1"/>
  <c r="O41" i="25" l="1"/>
  <c r="O37" i="25"/>
  <c r="O19" i="25"/>
  <c r="O15" i="25"/>
  <c r="O39" i="25"/>
  <c r="O38" i="25"/>
  <c r="O31" i="25"/>
  <c r="O27" i="25"/>
  <c r="O23" i="25"/>
  <c r="O40" i="25"/>
  <c r="O32" i="25"/>
  <c r="O28" i="25"/>
  <c r="O24" i="25"/>
  <c r="O20" i="25"/>
  <c r="O16" i="25"/>
  <c r="O12" i="25"/>
  <c r="O34" i="25"/>
  <c r="O36" i="25"/>
  <c r="O35" i="25"/>
  <c r="O42" i="25"/>
  <c r="O33" i="25"/>
  <c r="O30" i="25"/>
  <c r="O29" i="25"/>
  <c r="O25" i="25"/>
  <c r="O14" i="25"/>
  <c r="O22" i="25"/>
  <c r="O21" i="25"/>
  <c r="O18" i="25"/>
  <c r="O17" i="25"/>
  <c r="O13" i="25"/>
  <c r="O26" i="25"/>
  <c r="C42" i="25" l="1"/>
  <c r="C41" i="25" l="1"/>
  <c r="C40" i="25" l="1"/>
  <c r="C39" i="25" l="1"/>
  <c r="C38" i="25" l="1"/>
  <c r="C37" i="25" l="1"/>
  <c r="C36" i="25" l="1"/>
  <c r="C35" i="25" l="1"/>
  <c r="C34" i="25" l="1"/>
  <c r="C33" i="25" l="1"/>
  <c r="C32" i="25" l="1"/>
  <c r="C31" i="25" l="1"/>
  <c r="C30" i="25" l="1"/>
  <c r="C29" i="25" l="1"/>
  <c r="C28" i="25" l="1"/>
  <c r="C27" i="25" l="1"/>
  <c r="C26" i="25" l="1"/>
  <c r="C25" i="25" l="1"/>
  <c r="C24" i="25" l="1"/>
  <c r="C23" i="25" l="1"/>
  <c r="C22" i="25" l="1"/>
  <c r="C21" i="25" l="1"/>
  <c r="C20" i="25" l="1"/>
  <c r="C19" i="25" l="1"/>
  <c r="S19" i="25" l="1"/>
  <c r="C18" i="25"/>
  <c r="S18" i="25" l="1"/>
  <c r="C17" i="25"/>
  <c r="S17" i="25" l="1"/>
  <c r="C16" i="25"/>
  <c r="S16" i="25" l="1"/>
  <c r="C15" i="25"/>
  <c r="S15" i="25" l="1"/>
  <c r="C14" i="25"/>
  <c r="S14" i="25" l="1"/>
  <c r="C13" i="25"/>
  <c r="S13" i="25" l="1"/>
  <c r="C12" i="25"/>
  <c r="S12" i="25" l="1"/>
  <c r="C11" i="25"/>
  <c r="S11" i="25" l="1"/>
  <c r="D26" i="3"/>
  <c r="D25" i="3" l="1"/>
  <c r="D28" i="3" l="1"/>
  <c r="D29" i="3"/>
  <c r="D33" i="3"/>
  <c r="D32" i="3"/>
  <c r="D30" i="3"/>
  <c r="D34" i="3"/>
  <c r="D31" i="3"/>
  <c r="D24" i="3" l="1"/>
  <c r="D27" i="3"/>
  <c r="G12" i="7" l="1"/>
  <c r="G12" i="29"/>
  <c r="G14" i="29"/>
  <c r="G14" i="7"/>
  <c r="G11" i="29"/>
  <c r="G11" i="7"/>
  <c r="G16" i="29"/>
  <c r="G16" i="7"/>
  <c r="G10" i="29"/>
  <c r="G10" i="7"/>
  <c r="G18" i="29"/>
  <c r="G18" i="7"/>
  <c r="G15" i="29"/>
  <c r="G15" i="7"/>
  <c r="G17" i="29"/>
  <c r="G17" i="7"/>
  <c r="G13" i="29"/>
  <c r="G13" i="7"/>
  <c r="I23" i="25"/>
  <c r="S23" i="25" s="1"/>
  <c r="G22" i="7" l="1"/>
  <c r="G22" i="29"/>
  <c r="I24" i="25"/>
  <c r="S24" i="25" s="1"/>
  <c r="I39" i="25"/>
  <c r="S39" i="25" s="1"/>
  <c r="I26" i="25"/>
  <c r="S26" i="25" s="1"/>
  <c r="I27" i="25"/>
  <c r="S27" i="25" s="1"/>
  <c r="I35" i="25"/>
  <c r="S35" i="25" s="1"/>
  <c r="I34" i="25"/>
  <c r="S34" i="25" s="1"/>
  <c r="I28" i="25"/>
  <c r="S28" i="25" s="1"/>
  <c r="I32" i="25"/>
  <c r="S32" i="25" s="1"/>
  <c r="I25" i="25"/>
  <c r="S25" i="25" s="1"/>
  <c r="I33" i="25"/>
  <c r="S33" i="25" s="1"/>
  <c r="I29" i="25"/>
  <c r="S29" i="25" s="1"/>
  <c r="I31" i="25"/>
  <c r="S31" i="25" s="1"/>
  <c r="I22" i="25"/>
  <c r="S22" i="25" s="1"/>
  <c r="I37" i="25"/>
  <c r="S37" i="25" s="1"/>
  <c r="G30" i="29" l="1"/>
  <c r="G30" i="7"/>
  <c r="G28" i="7"/>
  <c r="G28" i="29"/>
  <c r="G25" i="29"/>
  <c r="G25" i="7"/>
  <c r="G21" i="29"/>
  <c r="G21" i="7"/>
  <c r="G32" i="7"/>
  <c r="G32" i="29"/>
  <c r="G38" i="7"/>
  <c r="G38" i="29"/>
  <c r="G34" i="29"/>
  <c r="G34" i="7"/>
  <c r="G24" i="29"/>
  <c r="G24" i="7"/>
  <c r="G31" i="29"/>
  <c r="G31" i="7"/>
  <c r="G23" i="7"/>
  <c r="G23" i="29"/>
  <c r="G27" i="7"/>
  <c r="G27" i="29"/>
  <c r="G26" i="29"/>
  <c r="G26" i="7"/>
  <c r="G36" i="7"/>
  <c r="G36" i="29"/>
  <c r="G33" i="7"/>
  <c r="G33" i="29"/>
  <c r="I38" i="25"/>
  <c r="S38" i="25" s="1"/>
  <c r="I20" i="25"/>
  <c r="S20" i="25" s="1"/>
  <c r="I30" i="25"/>
  <c r="S30" i="25" s="1"/>
  <c r="I21" i="25"/>
  <c r="S21" i="25" s="1"/>
  <c r="G29" i="7" l="1"/>
  <c r="G29" i="29"/>
  <c r="G37" i="7"/>
  <c r="G37" i="29"/>
  <c r="G20" i="7"/>
  <c r="G20" i="29"/>
  <c r="G19" i="29"/>
  <c r="G19" i="7"/>
  <c r="I36" i="25"/>
  <c r="S36" i="25" s="1"/>
  <c r="G35" i="7" l="1"/>
  <c r="G35" i="29"/>
  <c r="I40" i="25" l="1"/>
  <c r="S40" i="25" s="1"/>
  <c r="I41" i="25"/>
  <c r="S41" i="25" s="1"/>
  <c r="I42" i="25"/>
  <c r="S42" i="25" s="1"/>
  <c r="G41" i="29" l="1"/>
  <c r="G41" i="7"/>
  <c r="G40" i="7"/>
  <c r="G40" i="29"/>
  <c r="G39" i="7"/>
  <c r="G39" i="29"/>
  <c r="D36" i="3" l="1"/>
  <c r="D35" i="3" l="1"/>
  <c r="Q30" i="21" l="1"/>
  <c r="P30" i="21" s="1"/>
  <c r="O30" i="21" s="1"/>
  <c r="N30" i="21" s="1"/>
  <c r="M30" i="21" s="1"/>
  <c r="L30" i="21" s="1"/>
  <c r="K30" i="21" s="1"/>
  <c r="J30" i="21" s="1"/>
  <c r="I30" i="21" s="1"/>
  <c r="H30" i="21" s="1"/>
  <c r="G30" i="21" s="1"/>
  <c r="F30" i="21" s="1"/>
  <c r="E30" i="21" s="1"/>
  <c r="D30" i="21" s="1"/>
  <c r="C30" i="21" s="1"/>
  <c r="B30" i="21" s="1"/>
  <c r="Q32" i="11" s="1"/>
  <c r="P32" i="11" l="1"/>
  <c r="L26" i="14"/>
  <c r="F10" i="3"/>
  <c r="C10" i="7" s="1"/>
  <c r="O32" i="11" l="1"/>
  <c r="K26" i="14"/>
  <c r="F11" i="3"/>
  <c r="C11" i="7" s="1"/>
  <c r="N32" i="11" l="1"/>
  <c r="J26" i="14"/>
  <c r="F12" i="3"/>
  <c r="C12" i="7" s="1"/>
  <c r="M32" i="11" l="1"/>
  <c r="I26" i="14"/>
  <c r="F13" i="3"/>
  <c r="C13" i="7" s="1"/>
  <c r="L32" i="11" l="1"/>
  <c r="H26" i="14"/>
  <c r="F14" i="3"/>
  <c r="C14" i="7" s="1"/>
  <c r="K32" i="11" l="1"/>
  <c r="G26" i="14"/>
  <c r="F15" i="3"/>
  <c r="C15" i="7" s="1"/>
  <c r="J32" i="11" l="1"/>
  <c r="F26" i="14"/>
  <c r="F16" i="3"/>
  <c r="C16" i="7" s="1"/>
  <c r="I32" i="11" l="1"/>
  <c r="E26" i="14"/>
  <c r="F17" i="3"/>
  <c r="C17" i="7" s="1"/>
  <c r="H32" i="11" l="1"/>
  <c r="D26" i="14"/>
  <c r="F18" i="3"/>
  <c r="C18" i="7" s="1"/>
  <c r="G32" i="11" l="1"/>
  <c r="C26" i="14"/>
  <c r="F19" i="3"/>
  <c r="C19" i="7" s="1"/>
  <c r="F32" i="11" l="1"/>
  <c r="F20" i="3"/>
  <c r="C20" i="7" s="1"/>
  <c r="B26" i="14"/>
  <c r="E32" i="11" l="1"/>
  <c r="V33" i="13"/>
  <c r="F22" i="3"/>
  <c r="C22" i="7" s="1"/>
  <c r="F21" i="3"/>
  <c r="C21" i="7" s="1"/>
  <c r="D32" i="11" l="1"/>
  <c r="U33" i="13"/>
  <c r="C32" i="11" l="1"/>
  <c r="T33" i="13"/>
  <c r="E24" i="3"/>
  <c r="F23" i="3"/>
  <c r="C23" i="7" s="1"/>
  <c r="E25" i="3"/>
  <c r="B32" i="11" l="1"/>
  <c r="S33" i="13"/>
  <c r="F25" i="3"/>
  <c r="F24" i="3"/>
  <c r="E26" i="3"/>
  <c r="R33" i="13" l="1"/>
  <c r="F26" i="3"/>
  <c r="C24" i="7"/>
  <c r="C25" i="7"/>
  <c r="E27" i="3"/>
  <c r="Q33" i="13" l="1"/>
  <c r="F27" i="3"/>
  <c r="C26" i="7"/>
  <c r="E28" i="3"/>
  <c r="P33" i="13" l="1"/>
  <c r="F28" i="3"/>
  <c r="C27" i="7"/>
  <c r="E29" i="3"/>
  <c r="O33" i="13" l="1"/>
  <c r="F29" i="3"/>
  <c r="C28" i="7"/>
  <c r="E30" i="3"/>
  <c r="N33" i="13" l="1"/>
  <c r="F30" i="3"/>
  <c r="C29" i="7"/>
  <c r="E31" i="3"/>
  <c r="M33" i="13" l="1"/>
  <c r="F31" i="3"/>
  <c r="C30" i="7"/>
  <c r="E32" i="3"/>
  <c r="L33" i="13" l="1"/>
  <c r="F32" i="3"/>
  <c r="C31" i="7"/>
  <c r="E33" i="3"/>
  <c r="K33" i="13" l="1"/>
  <c r="F33" i="3"/>
  <c r="C32" i="7"/>
  <c r="E34" i="3"/>
  <c r="E35" i="3"/>
  <c r="J33" i="13" l="1"/>
  <c r="F34" i="3"/>
  <c r="F35" i="3"/>
  <c r="C33" i="7"/>
  <c r="E36" i="3"/>
  <c r="I33" i="13" l="1"/>
  <c r="F36" i="3"/>
  <c r="C35" i="7"/>
  <c r="C34" i="7"/>
  <c r="Q54" i="15"/>
  <c r="P54" i="15" s="1"/>
  <c r="O54" i="15" s="1"/>
  <c r="N54" i="15" s="1"/>
  <c r="M54" i="15" s="1"/>
  <c r="L54" i="15" s="1"/>
  <c r="K54" i="15" s="1"/>
  <c r="J54" i="15" s="1"/>
  <c r="I54" i="15" s="1"/>
  <c r="H54" i="15" s="1"/>
  <c r="G54" i="15" s="1"/>
  <c r="F54" i="15" s="1"/>
  <c r="E54" i="15" s="1"/>
  <c r="D54" i="15" s="1"/>
  <c r="C54" i="15" s="1"/>
  <c r="B54" i="15" s="1"/>
  <c r="Q55" i="12" s="1"/>
  <c r="P55" i="12" s="1"/>
  <c r="O55" i="12" s="1"/>
  <c r="N55" i="12" s="1"/>
  <c r="M55" i="12" s="1"/>
  <c r="L55" i="12" s="1"/>
  <c r="K55" i="12" s="1"/>
  <c r="J55" i="12" s="1"/>
  <c r="I55" i="12" s="1"/>
  <c r="H55" i="12" s="1"/>
  <c r="G55" i="12" s="1"/>
  <c r="F55" i="12" s="1"/>
  <c r="E55" i="12" s="1"/>
  <c r="D55" i="12" s="1"/>
  <c r="C55" i="12" s="1"/>
  <c r="B55" i="12" s="1"/>
  <c r="H33" i="13" l="1"/>
  <c r="E37" i="3"/>
  <c r="C36" i="7"/>
  <c r="U32" i="16"/>
  <c r="E26" i="18"/>
  <c r="F37" i="3" l="1"/>
  <c r="G33" i="13"/>
  <c r="T32" i="16"/>
  <c r="C37" i="7" l="1"/>
  <c r="S32" i="16"/>
  <c r="E27" i="18"/>
  <c r="R32" i="16" l="1"/>
  <c r="E28" i="18"/>
  <c r="Q32" i="16" l="1"/>
  <c r="E29" i="18"/>
  <c r="P32" i="16" l="1"/>
  <c r="E30" i="18"/>
  <c r="O32" i="16" l="1"/>
  <c r="E31" i="18"/>
  <c r="N32" i="16" l="1"/>
  <c r="E32" i="18"/>
  <c r="M32" i="16" l="1"/>
  <c r="E33" i="18"/>
  <c r="L32" i="16" l="1"/>
  <c r="E34" i="18"/>
  <c r="K32" i="16" l="1"/>
  <c r="E35" i="18"/>
  <c r="J32" i="16" l="1"/>
  <c r="E36" i="18"/>
  <c r="I32" i="16" l="1"/>
  <c r="E37" i="18"/>
  <c r="H32" i="16" l="1"/>
  <c r="E38" i="18"/>
  <c r="G32" i="16" l="1"/>
  <c r="E40" i="18"/>
  <c r="G35" i="16"/>
  <c r="E39" i="18"/>
  <c r="G58" i="12" l="1"/>
  <c r="F58" i="12" l="1"/>
  <c r="E58" i="12" l="1"/>
  <c r="D58" i="12" l="1"/>
  <c r="C58" i="12" l="1"/>
  <c r="B58" i="12" l="1"/>
  <c r="F40" i="18" l="1"/>
  <c r="F39" i="18"/>
  <c r="F38" i="18"/>
  <c r="F37" i="18"/>
  <c r="F36" i="18"/>
  <c r="F35" i="18"/>
  <c r="F34" i="18"/>
  <c r="F33" i="18"/>
  <c r="F32" i="18"/>
  <c r="F31" i="18"/>
  <c r="F30" i="18"/>
  <c r="F29" i="18"/>
  <c r="F28" i="18"/>
  <c r="F27" i="18"/>
  <c r="F26" i="18"/>
  <c r="F25" i="18"/>
  <c r="F24" i="18"/>
  <c r="F23" i="18"/>
  <c r="F22" i="18"/>
  <c r="F21" i="18"/>
  <c r="F20" i="18"/>
  <c r="F19" i="18"/>
  <c r="F18" i="18"/>
  <c r="F17" i="18"/>
  <c r="F16" i="18"/>
  <c r="F15" i="18"/>
  <c r="F14" i="18"/>
  <c r="F12" i="18"/>
  <c r="C12" i="29" l="1"/>
  <c r="G15" i="18"/>
  <c r="G23" i="18"/>
  <c r="C20" i="29"/>
  <c r="C28" i="29"/>
  <c r="G31" i="18"/>
  <c r="C36" i="29"/>
  <c r="G39" i="18"/>
  <c r="C35" i="29"/>
  <c r="G38" i="18"/>
  <c r="C13" i="29"/>
  <c r="G16" i="18"/>
  <c r="G24" i="18"/>
  <c r="C21" i="29"/>
  <c r="G32" i="18"/>
  <c r="C29" i="29"/>
  <c r="C37" i="29"/>
  <c r="G40" i="18"/>
  <c r="G14" i="18"/>
  <c r="C11" i="29"/>
  <c r="C14" i="29"/>
  <c r="G17" i="18"/>
  <c r="G25" i="18"/>
  <c r="C22" i="29"/>
  <c r="G33" i="18"/>
  <c r="C30" i="29"/>
  <c r="G30" i="18"/>
  <c r="C27" i="29"/>
  <c r="G18" i="18"/>
  <c r="C15" i="29"/>
  <c r="C23" i="29"/>
  <c r="G26" i="18"/>
  <c r="C31" i="29"/>
  <c r="G34" i="18"/>
  <c r="G19" i="18"/>
  <c r="C16" i="29"/>
  <c r="G27" i="18"/>
  <c r="C24" i="29"/>
  <c r="G35" i="18"/>
  <c r="C32" i="29"/>
  <c r="G20" i="18"/>
  <c r="C17" i="29"/>
  <c r="G28" i="18"/>
  <c r="C25" i="29"/>
  <c r="G36" i="18"/>
  <c r="C33" i="29"/>
  <c r="G22" i="18"/>
  <c r="C19" i="29"/>
  <c r="G12" i="18"/>
  <c r="C10" i="29"/>
  <c r="G21" i="18"/>
  <c r="C18" i="29"/>
  <c r="C26" i="29"/>
  <c r="G29" i="18"/>
  <c r="G37" i="18"/>
  <c r="C34" i="29"/>
  <c r="I19" i="29" l="1"/>
  <c r="I29" i="29"/>
  <c r="I23" i="29"/>
  <c r="I36" i="29"/>
  <c r="I32" i="29"/>
  <c r="I24" i="29"/>
  <c r="I15" i="29"/>
  <c r="I21" i="29"/>
  <c r="I34" i="29"/>
  <c r="I26" i="29"/>
  <c r="I14" i="29"/>
  <c r="I28" i="29"/>
  <c r="I18" i="29"/>
  <c r="I16" i="29"/>
  <c r="I11" i="29"/>
  <c r="I20" i="29"/>
  <c r="I22" i="29"/>
  <c r="I25" i="29"/>
  <c r="I27" i="29"/>
  <c r="I13" i="29"/>
  <c r="I33" i="29"/>
  <c r="I10" i="29"/>
  <c r="I17" i="29"/>
  <c r="I30" i="29"/>
  <c r="I31" i="29"/>
  <c r="I37" i="29"/>
  <c r="I35" i="29"/>
  <c r="I12" i="29"/>
  <c r="K138" i="42"/>
  <c r="K78" i="42" l="1"/>
  <c r="K80" i="42" l="1"/>
  <c r="J138" i="42"/>
  <c r="J78" i="42" l="1"/>
  <c r="J80" i="42" l="1"/>
  <c r="K147" i="42"/>
  <c r="I138" i="42" l="1"/>
  <c r="J148" i="42" l="1"/>
  <c r="K148" i="42"/>
  <c r="H138" i="42" l="1"/>
  <c r="I78" i="42" l="1"/>
  <c r="G138" i="42"/>
  <c r="I80" i="42" l="1"/>
  <c r="H78" i="42"/>
  <c r="F138" i="42"/>
  <c r="G78" i="42"/>
  <c r="G80" i="42" l="1"/>
  <c r="H80" i="42"/>
  <c r="F78" i="42"/>
  <c r="E138" i="42"/>
  <c r="F80" i="42" l="1"/>
  <c r="J149" i="42"/>
  <c r="K149" i="42"/>
  <c r="I149" i="42"/>
  <c r="E78" i="42"/>
  <c r="D138" i="42"/>
  <c r="E80" i="42" l="1"/>
  <c r="J150" i="42"/>
  <c r="H150" i="42"/>
  <c r="K150" i="42"/>
  <c r="I150" i="42"/>
  <c r="D78" i="42"/>
  <c r="C138" i="42"/>
  <c r="D80" i="42" l="1"/>
  <c r="I151" i="42"/>
  <c r="H151" i="42"/>
  <c r="G151" i="42"/>
  <c r="K151" i="42"/>
  <c r="J151" i="42"/>
  <c r="C78" i="42"/>
  <c r="C80" i="42" l="1"/>
  <c r="J152" i="42"/>
  <c r="H152" i="42"/>
  <c r="F152" i="42"/>
  <c r="K152" i="42"/>
  <c r="I152" i="42"/>
  <c r="G152" i="42"/>
  <c r="G153" i="42" l="1"/>
  <c r="H153" i="42"/>
  <c r="K153" i="42"/>
  <c r="J153" i="42"/>
  <c r="I153" i="42"/>
  <c r="F153" i="42"/>
  <c r="E153" i="42"/>
  <c r="H154" i="42" l="1"/>
  <c r="F154" i="42"/>
  <c r="G154" i="42"/>
  <c r="J154" i="42"/>
  <c r="K154" i="42"/>
  <c r="I154" i="42"/>
  <c r="E154" i="42"/>
  <c r="D154" i="42"/>
  <c r="C155" i="42" l="1"/>
  <c r="G155" i="42"/>
  <c r="H155" i="42"/>
  <c r="D155" i="42"/>
  <c r="J155" i="42"/>
  <c r="E155" i="42"/>
  <c r="K155" i="42"/>
  <c r="I155" i="42"/>
  <c r="F155" i="42"/>
  <c r="C157" i="42" l="1"/>
  <c r="C195" i="42" s="1"/>
  <c r="K157" i="42"/>
  <c r="K195" i="42" s="1"/>
  <c r="H157" i="42"/>
  <c r="H195" i="42" s="1"/>
  <c r="D157" i="42"/>
  <c r="D195" i="42" s="1"/>
  <c r="J157" i="42"/>
  <c r="J195" i="42" s="1"/>
  <c r="I157" i="42"/>
  <c r="I195" i="42" s="1"/>
  <c r="F157" i="42"/>
  <c r="F195" i="42" s="1"/>
  <c r="G157" i="42"/>
  <c r="G195" i="42" s="1"/>
  <c r="E157" i="42"/>
  <c r="E195" i="42" s="1"/>
  <c r="C158" i="42" l="1"/>
  <c r="C196" i="42" s="1"/>
  <c r="H158" i="42"/>
  <c r="H196" i="42" s="1"/>
  <c r="E158" i="42"/>
  <c r="E196" i="42" s="1"/>
  <c r="J158" i="42"/>
  <c r="J196" i="42" s="1"/>
  <c r="F158" i="42"/>
  <c r="F196" i="42" s="1"/>
  <c r="D158" i="42"/>
  <c r="D196" i="42" s="1"/>
  <c r="I158" i="42"/>
  <c r="I196" i="42" s="1"/>
  <c r="G158" i="42"/>
  <c r="G196" i="42" s="1"/>
  <c r="K158" i="42"/>
  <c r="K196" i="42" s="1"/>
  <c r="E39" i="7" l="1"/>
  <c r="E38" i="7"/>
  <c r="E37" i="7" l="1"/>
  <c r="I37" i="7" s="1"/>
  <c r="E36" i="7" l="1"/>
  <c r="I36" i="7" s="1"/>
  <c r="E35" i="7" l="1"/>
  <c r="I35" i="7" s="1"/>
  <c r="E34" i="7" l="1"/>
  <c r="I34" i="7" s="1"/>
  <c r="E33" i="7" l="1"/>
  <c r="I33" i="7" s="1"/>
  <c r="E32" i="7" l="1"/>
  <c r="I32" i="7" s="1"/>
  <c r="E31" i="7" l="1"/>
  <c r="I31" i="7" s="1"/>
  <c r="E30" i="7" l="1"/>
  <c r="I30" i="7" s="1"/>
  <c r="E29" i="7" l="1"/>
  <c r="I29" i="7" s="1"/>
  <c r="E28" i="7" l="1"/>
  <c r="I28" i="7" s="1"/>
  <c r="E26" i="7" l="1"/>
  <c r="I26" i="7" s="1"/>
  <c r="E24" i="7"/>
  <c r="I24" i="7" s="1"/>
  <c r="E27" i="7"/>
  <c r="I27" i="7" s="1"/>
  <c r="E25" i="7"/>
  <c r="I25" i="7" s="1"/>
  <c r="E23" i="7" l="1"/>
  <c r="I23" i="7" s="1"/>
  <c r="E22" i="7" l="1"/>
  <c r="I22" i="7" s="1"/>
  <c r="E21" i="7" l="1"/>
  <c r="I21" i="7" s="1"/>
  <c r="E20" i="7" l="1"/>
  <c r="I20" i="7" s="1"/>
  <c r="E19" i="7" l="1"/>
  <c r="I19" i="7" s="1"/>
  <c r="E18" i="7" l="1"/>
  <c r="I18" i="7" s="1"/>
  <c r="E17" i="7" l="1"/>
  <c r="I17" i="7" s="1"/>
  <c r="E16" i="7" l="1"/>
  <c r="I16" i="7" s="1"/>
  <c r="E15" i="7" l="1"/>
  <c r="I15" i="7" s="1"/>
  <c r="E14" i="7" l="1"/>
  <c r="I14" i="7" s="1"/>
  <c r="E13" i="7" l="1"/>
  <c r="I13" i="7" s="1"/>
  <c r="E12" i="7" l="1"/>
  <c r="I12" i="7" s="1"/>
  <c r="E11" i="7" l="1"/>
  <c r="I11" i="7" s="1"/>
  <c r="E10" i="7" l="1"/>
  <c r="I10" i="7" s="1"/>
  <c r="J10" i="26" l="1"/>
  <c r="J11" i="26" l="1"/>
  <c r="F11" i="26"/>
  <c r="F12" i="26" l="1"/>
  <c r="J12" i="26"/>
  <c r="L12" i="26" s="1"/>
  <c r="L11" i="26"/>
  <c r="J13" i="26" l="1"/>
  <c r="F13" i="26"/>
  <c r="J14" i="26" l="1"/>
  <c r="L14" i="26" s="1"/>
  <c r="F14" i="26"/>
  <c r="L13" i="26"/>
  <c r="J15" i="26" l="1"/>
  <c r="F15" i="26"/>
  <c r="J16" i="26" l="1"/>
  <c r="L16" i="26" s="1"/>
  <c r="F16" i="26"/>
  <c r="L15" i="26"/>
  <c r="F17" i="26" l="1"/>
  <c r="J17" i="26"/>
  <c r="L17" i="26" s="1"/>
  <c r="F18" i="26" l="1"/>
  <c r="J18" i="26"/>
  <c r="L18" i="26" s="1"/>
  <c r="J19" i="26" l="1"/>
  <c r="L19" i="26" s="1"/>
  <c r="F19" i="26"/>
  <c r="J20" i="26" l="1"/>
  <c r="L20" i="26" s="1"/>
  <c r="F20" i="26"/>
  <c r="J22" i="26"/>
  <c r="F22" i="26"/>
  <c r="J21" i="26"/>
  <c r="L21" i="26" s="1"/>
  <c r="F21" i="26"/>
  <c r="F23" i="26" l="1"/>
  <c r="J23" i="26"/>
  <c r="L23" i="26" s="1"/>
  <c r="L22" i="26"/>
  <c r="F24" i="26" l="1"/>
  <c r="J24" i="26"/>
  <c r="L24" i="26" s="1"/>
  <c r="F25" i="26" l="1"/>
  <c r="J25" i="26"/>
  <c r="J26" i="26" l="1"/>
  <c r="L26" i="26" s="1"/>
  <c r="F26" i="26"/>
  <c r="L25" i="26"/>
  <c r="J27" i="26" l="1"/>
  <c r="F27" i="26"/>
  <c r="J28" i="26" l="1"/>
  <c r="L28" i="26" s="1"/>
  <c r="F28" i="26"/>
  <c r="L27" i="26"/>
  <c r="J29" i="26" l="1"/>
  <c r="F29" i="26"/>
  <c r="J30" i="26" l="1"/>
  <c r="L30" i="26" s="1"/>
  <c r="F30" i="26"/>
  <c r="L29" i="26"/>
  <c r="J31" i="26" l="1"/>
  <c r="F31" i="26"/>
  <c r="F32" i="26" l="1"/>
  <c r="J32" i="26"/>
  <c r="L32" i="26" s="1"/>
  <c r="L31" i="26"/>
  <c r="F33" i="26" l="1"/>
  <c r="J33" i="26"/>
  <c r="F34" i="26" l="1"/>
  <c r="J34" i="26"/>
  <c r="L34" i="26" s="1"/>
  <c r="L33" i="26"/>
  <c r="J10" i="27" l="1"/>
  <c r="J11" i="27" l="1"/>
  <c r="L11" i="27" s="1"/>
  <c r="F11" i="27"/>
  <c r="J12" i="27" l="1"/>
  <c r="L12" i="27" s="1"/>
  <c r="F12" i="27"/>
  <c r="J13" i="27" l="1"/>
  <c r="L13" i="27" s="1"/>
  <c r="F13" i="27"/>
  <c r="F14" i="27"/>
  <c r="J14" i="27"/>
  <c r="L14" i="27" l="1"/>
  <c r="F15" i="27"/>
  <c r="J15" i="27"/>
  <c r="L15" i="27" s="1"/>
  <c r="F16" i="27" l="1"/>
  <c r="J16" i="27"/>
  <c r="L16" i="27" s="1"/>
  <c r="F17" i="27" l="1"/>
  <c r="J17" i="27"/>
  <c r="L17" i="27" s="1"/>
  <c r="F18" i="27" l="1"/>
  <c r="J18" i="27"/>
  <c r="L18" i="27" s="1"/>
  <c r="F19" i="27" l="1"/>
  <c r="J19" i="27"/>
  <c r="L19" i="27" s="1"/>
  <c r="J20" i="27" l="1"/>
  <c r="L20" i="27" s="1"/>
  <c r="F20" i="27"/>
  <c r="J21" i="27" l="1"/>
  <c r="L21" i="27" s="1"/>
  <c r="F21" i="27"/>
  <c r="F22" i="27" l="1"/>
  <c r="J22" i="27"/>
  <c r="L22" i="27" s="1"/>
  <c r="F23" i="27" l="1"/>
  <c r="J23" i="27"/>
  <c r="L23" i="27" s="1"/>
  <c r="F24" i="27" l="1"/>
  <c r="J24" i="27"/>
  <c r="L24" i="27" s="1"/>
  <c r="F13" i="28" l="1"/>
  <c r="J25" i="27"/>
  <c r="L25" i="27" s="1"/>
  <c r="F25" i="27"/>
  <c r="F26" i="27" l="1"/>
  <c r="J26" i="27"/>
  <c r="L26" i="27" s="1"/>
  <c r="F27" i="27" l="1"/>
  <c r="J27" i="27"/>
  <c r="L27" i="27" s="1"/>
  <c r="F14" i="28"/>
  <c r="D14" i="28"/>
  <c r="J28" i="27" l="1"/>
  <c r="L28" i="27" s="1"/>
  <c r="F28" i="27"/>
  <c r="H14" i="28"/>
  <c r="F15" i="28"/>
  <c r="H15" i="28" s="1"/>
  <c r="D15" i="28"/>
  <c r="F16" i="28" l="1"/>
  <c r="D16" i="28"/>
  <c r="F29" i="27"/>
  <c r="J29" i="27"/>
  <c r="L29" i="27" s="1"/>
  <c r="D17" i="28" l="1"/>
  <c r="F17" i="28"/>
  <c r="H17" i="28" s="1"/>
  <c r="H16" i="28"/>
  <c r="F30" i="27"/>
  <c r="J30" i="27"/>
  <c r="L30" i="27" s="1"/>
  <c r="J31" i="27" l="1"/>
  <c r="D18" i="28"/>
  <c r="F18" i="28"/>
  <c r="H18" i="28" s="1"/>
  <c r="D20" i="28" l="1"/>
  <c r="F20" i="28"/>
  <c r="N19" i="28"/>
  <c r="D19" i="28"/>
  <c r="F19" i="28"/>
  <c r="H19" i="28" s="1"/>
  <c r="H20" i="28" l="1"/>
  <c r="F21" i="28"/>
  <c r="H21" i="28" s="1"/>
  <c r="D21" i="28"/>
  <c r="J32" i="27"/>
  <c r="L32" i="27" s="1"/>
  <c r="F32" i="27"/>
  <c r="N20" i="28"/>
  <c r="P20" i="28" s="1"/>
  <c r="L20" i="28"/>
  <c r="J33" i="27" l="1"/>
  <c r="L33" i="27" s="1"/>
  <c r="F33" i="27"/>
  <c r="L21" i="28"/>
  <c r="N21" i="28"/>
  <c r="D22" i="28"/>
  <c r="F22" i="28"/>
  <c r="H22" i="28" s="1"/>
  <c r="N18" i="28"/>
  <c r="P19" i="28" s="1"/>
  <c r="L19" i="28"/>
  <c r="J34" i="27" l="1"/>
  <c r="L34" i="27" s="1"/>
  <c r="F34" i="27"/>
  <c r="P21" i="28"/>
  <c r="N22" i="28"/>
  <c r="P22" i="28" s="1"/>
  <c r="L22" i="28"/>
  <c r="L18" i="28"/>
  <c r="N17" i="28"/>
  <c r="L17" i="28"/>
  <c r="P18" i="28" l="1"/>
  <c r="N16" i="28"/>
  <c r="P17" i="28" s="1"/>
  <c r="N15" i="28"/>
  <c r="L16" i="28" l="1"/>
  <c r="P16" i="28"/>
  <c r="L15" i="28" l="1"/>
  <c r="N14" i="28"/>
  <c r="N13" i="28"/>
  <c r="L14" i="28" l="1"/>
  <c r="P14" i="28"/>
  <c r="P15" i="28"/>
  <c r="B32" i="13" l="1"/>
  <c r="C32" i="13" l="1"/>
  <c r="D42" i="3" s="1"/>
  <c r="D32" i="13" l="1"/>
  <c r="D41" i="3" l="1"/>
  <c r="E32" i="13"/>
  <c r="D40" i="3" l="1"/>
  <c r="F32" i="13"/>
  <c r="D38" i="3" s="1"/>
  <c r="F33" i="13"/>
  <c r="D39" i="3" l="1"/>
  <c r="E33" i="13"/>
  <c r="E38" i="3"/>
  <c r="F38" i="3" l="1"/>
  <c r="D33" i="13"/>
  <c r="E39" i="3"/>
  <c r="E41" i="3" l="1"/>
  <c r="F41" i="3" s="1"/>
  <c r="C38" i="7"/>
  <c r="F39" i="3"/>
  <c r="C33" i="13"/>
  <c r="E40" i="3"/>
  <c r="C41" i="7" l="1"/>
  <c r="E42" i="3"/>
  <c r="E43" i="3"/>
  <c r="F40" i="3"/>
  <c r="B33" i="13"/>
  <c r="C39" i="7"/>
  <c r="F35" i="26"/>
  <c r="J35" i="26"/>
  <c r="I38" i="7"/>
  <c r="C40" i="7" l="1"/>
  <c r="F43" i="3"/>
  <c r="F42" i="3"/>
  <c r="I41" i="7"/>
  <c r="C42" i="7"/>
  <c r="E44" i="3"/>
  <c r="L35" i="26"/>
  <c r="F36" i="26"/>
  <c r="J36" i="26"/>
  <c r="I39" i="7"/>
  <c r="I40" i="7" l="1"/>
  <c r="F44" i="3"/>
  <c r="C43" i="7"/>
  <c r="I42" i="7"/>
  <c r="L36" i="26"/>
  <c r="L37" i="26"/>
  <c r="F37" i="26"/>
  <c r="I43" i="7" l="1"/>
  <c r="C44" i="7"/>
  <c r="I44" i="7" l="1"/>
  <c r="L43" i="26"/>
  <c r="I47" i="7" l="1"/>
  <c r="I48" i="7" l="1"/>
  <c r="B29" i="16"/>
  <c r="D46" i="18" s="1"/>
  <c r="I49" i="7" l="1"/>
  <c r="C29" i="16"/>
  <c r="D44" i="18" s="1"/>
  <c r="D29" i="16"/>
  <c r="K9" i="8" l="1"/>
  <c r="F29" i="16"/>
  <c r="E29" i="16"/>
  <c r="D42" i="18" l="1"/>
  <c r="F32" i="16"/>
  <c r="D43" i="18"/>
  <c r="D41" i="18"/>
  <c r="E32" i="16" l="1"/>
  <c r="F35" i="16"/>
  <c r="E41" i="18"/>
  <c r="D32" i="16" l="1"/>
  <c r="E35" i="16"/>
  <c r="E42" i="18" s="1"/>
  <c r="F41" i="18"/>
  <c r="C32" i="16" l="1"/>
  <c r="D35" i="16"/>
  <c r="F42" i="18"/>
  <c r="G41" i="18"/>
  <c r="C38" i="29"/>
  <c r="E43" i="18"/>
  <c r="B32" i="16" l="1"/>
  <c r="B35" i="16" s="1"/>
  <c r="C35" i="16"/>
  <c r="E45" i="18" s="1"/>
  <c r="F43" i="18"/>
  <c r="C39" i="29"/>
  <c r="G42" i="18"/>
  <c r="F23" i="28"/>
  <c r="D23" i="28"/>
  <c r="E44" i="18"/>
  <c r="I38" i="29"/>
  <c r="C41" i="29" l="1"/>
  <c r="F45" i="18"/>
  <c r="H23" i="28"/>
  <c r="D24" i="28"/>
  <c r="F24" i="28"/>
  <c r="H24" i="28" s="1"/>
  <c r="F44" i="18"/>
  <c r="E46" i="18"/>
  <c r="N23" i="28"/>
  <c r="L23" i="28"/>
  <c r="I39" i="29"/>
  <c r="C40" i="29"/>
  <c r="G43" i="18"/>
  <c r="F35" i="27"/>
  <c r="J35" i="27"/>
  <c r="L35" i="27" s="1"/>
  <c r="C43" i="29" l="1"/>
  <c r="C42" i="29"/>
  <c r="G45" i="18"/>
  <c r="I41" i="29"/>
  <c r="N24" i="28"/>
  <c r="P24" i="28" s="1"/>
  <c r="L24" i="28"/>
  <c r="P23" i="28"/>
  <c r="I40" i="29"/>
  <c r="F46" i="18"/>
  <c r="G44" i="18"/>
  <c r="D25" i="28"/>
  <c r="F25" i="28"/>
  <c r="F36" i="27"/>
  <c r="J36" i="27"/>
  <c r="L36" i="27" s="1"/>
  <c r="C44" i="29" l="1"/>
  <c r="I42" i="29"/>
  <c r="I43" i="29"/>
  <c r="G46" i="18"/>
  <c r="N25" i="28"/>
  <c r="L25" i="28"/>
  <c r="L37" i="27"/>
  <c r="F26" i="28"/>
  <c r="D26" i="28"/>
  <c r="H25" i="28"/>
  <c r="I44" i="29" l="1"/>
  <c r="H26" i="28"/>
  <c r="P25" i="28"/>
  <c r="L26" i="28"/>
  <c r="N26" i="28"/>
  <c r="I47" i="29" l="1"/>
  <c r="P27" i="28"/>
  <c r="P26" i="28"/>
  <c r="I48" i="29" l="1"/>
  <c r="I49" i="29" l="1"/>
  <c r="M9" i="8" l="1"/>
  <c r="O9" i="8" l="1"/>
  <c r="O14" i="8" l="1"/>
  <c r="O18" i="8" l="1"/>
  <c r="O22" i="8" l="1"/>
  <c r="O26" i="8" l="1"/>
</calcChain>
</file>

<file path=xl/sharedStrings.xml><?xml version="1.0" encoding="utf-8"?>
<sst xmlns="http://schemas.openxmlformats.org/spreadsheetml/2006/main" count="3548" uniqueCount="568">
  <si>
    <t>California Workers' Compensation</t>
  </si>
  <si>
    <t>Earned</t>
  </si>
  <si>
    <t xml:space="preserve">Paid </t>
  </si>
  <si>
    <t>Indemnity</t>
  </si>
  <si>
    <t xml:space="preserve">  Paid   </t>
  </si>
  <si>
    <t>Medical</t>
  </si>
  <si>
    <t xml:space="preserve">Total  </t>
  </si>
  <si>
    <t xml:space="preserve">Loss  </t>
  </si>
  <si>
    <t>Year</t>
  </si>
  <si>
    <t>Premium</t>
  </si>
  <si>
    <t>Reserves</t>
  </si>
  <si>
    <t>Ratio*</t>
  </si>
  <si>
    <t>*</t>
  </si>
  <si>
    <t>**</t>
  </si>
  <si>
    <t>Paid medical for accident years 2011 and subsequent exclude the paid cost of medical cost containment programs (MCCP).  Paid medical for accident years 2010 and prior include paid MCCP costs.</t>
  </si>
  <si>
    <t>IBNR*</t>
  </si>
  <si>
    <t>Incurred**</t>
  </si>
  <si>
    <t>Incurred Indemnity Loss Development Factors</t>
  </si>
  <si>
    <t>Age-to-Age (in months)</t>
  </si>
  <si>
    <t>Accident Year</t>
  </si>
  <si>
    <t>Selected (a)</t>
  </si>
  <si>
    <t>Cumulative</t>
  </si>
  <si>
    <t>(a)</t>
  </si>
  <si>
    <t>Incurred Indemnity Loss Development Factors (Continued)</t>
  </si>
  <si>
    <t xml:space="preserve">Cumulative </t>
  </si>
  <si>
    <t xml:space="preserve">(b)  </t>
  </si>
  <si>
    <t xml:space="preserve">(c)  </t>
  </si>
  <si>
    <t>Incurred Medical Loss Development Factors</t>
  </si>
  <si>
    <t>(b)</t>
  </si>
  <si>
    <t>Incurred Medical Loss Development Factors (Continued)</t>
  </si>
  <si>
    <t xml:space="preserve">(d)  </t>
  </si>
  <si>
    <t>Paid Indemnity Loss Development Factors</t>
  </si>
  <si>
    <t>---</t>
  </si>
  <si>
    <t>Paid Indemnity Loss Development Factors (Continued)</t>
  </si>
  <si>
    <t/>
  </si>
  <si>
    <t>Paid Medical Loss Development Factors</t>
  </si>
  <si>
    <t>Selected (c)</t>
  </si>
  <si>
    <t xml:space="preserve">(a)  </t>
  </si>
  <si>
    <t>(c)</t>
  </si>
  <si>
    <t xml:space="preserve">(e)  </t>
  </si>
  <si>
    <t>Paid Medical Loss Development Factors (Continued)</t>
  </si>
  <si>
    <t>(e)</t>
  </si>
  <si>
    <t xml:space="preserve">(f)  </t>
  </si>
  <si>
    <t>Developed Indemnity Loss Ratios Using Selected Loss Development Factors</t>
  </si>
  <si>
    <t>Development Factors</t>
  </si>
  <si>
    <t>(1)</t>
  </si>
  <si>
    <t>(2)</t>
  </si>
  <si>
    <t>(3)</t>
  </si>
  <si>
    <t>(4)</t>
  </si>
  <si>
    <t>Developed Medical Loss Ratios Using Selected Loss Development Factors</t>
  </si>
  <si>
    <t>(5)</t>
  </si>
  <si>
    <t>(6)</t>
  </si>
  <si>
    <t>Adjusted</t>
  </si>
  <si>
    <t>Projected</t>
  </si>
  <si>
    <t>Accident</t>
  </si>
  <si>
    <t>Ultimate</t>
  </si>
  <si>
    <t>Loss Ratio</t>
  </si>
  <si>
    <t>(d)</t>
  </si>
  <si>
    <t>Unadjusted (a)</t>
  </si>
  <si>
    <t>Adjusted (b)</t>
  </si>
  <si>
    <t>Indemnity Benefit Level Factors</t>
  </si>
  <si>
    <t>Annual Benefit</t>
  </si>
  <si>
    <t xml:space="preserve">Annual Impact   </t>
  </si>
  <si>
    <t>Annual</t>
  </si>
  <si>
    <t>Composite</t>
  </si>
  <si>
    <t>Change Prior to</t>
  </si>
  <si>
    <t>on Indemnity Benefits</t>
  </si>
  <si>
    <t>Cost</t>
  </si>
  <si>
    <t>Frequency</t>
  </si>
  <si>
    <t>Due to Wage</t>
  </si>
  <si>
    <t>Impact on</t>
  </si>
  <si>
    <t xml:space="preserve">Adjustment  </t>
  </si>
  <si>
    <t>Adjustments (a)</t>
  </si>
  <si>
    <t>Inflation (b)</t>
  </si>
  <si>
    <t>Indemnity (c)</t>
  </si>
  <si>
    <t>Factor (d)</t>
  </si>
  <si>
    <t>(f)</t>
  </si>
  <si>
    <t>{ [Column (1) /100 + 1.0] x [Column (2) /100 + 1.0] x [Column (3) /100 + 1.0 ] - 1.0 } x 100.</t>
  </si>
  <si>
    <t>On-level factors for accident years 2002, 2003 and 2004 adjust the portion of permanent disability claims that are estimated to not be subject to the January 1, 2005 PDRS (95% for accident year 2002, 75% for accident year 2003 and 40% for accident year 2004) to the January 1, 2005 PDRS level, and adjust for the corresponding utilization impacts on all 2002, 2003 and 2004 indemnity claims.</t>
  </si>
  <si>
    <t>Annual Medical Cost Level Change - Non-Legislative</t>
  </si>
  <si>
    <t>Proportion of</t>
  </si>
  <si>
    <t>Impact of</t>
  </si>
  <si>
    <t>Factor to a</t>
  </si>
  <si>
    <t>Factor to Adjust</t>
  </si>
  <si>
    <t>Medical Not</t>
  </si>
  <si>
    <t>Fee Schedule</t>
  </si>
  <si>
    <t>Change in</t>
  </si>
  <si>
    <t>CPI Change</t>
  </si>
  <si>
    <t>Non-Legislative</t>
  </si>
  <si>
    <t>Subject to</t>
  </si>
  <si>
    <t>Change on</t>
  </si>
  <si>
    <t>on Total</t>
  </si>
  <si>
    <t>Cost Impact on</t>
  </si>
  <si>
    <t>Fee Schedule (a)</t>
  </si>
  <si>
    <t>Total Medical (b)</t>
  </si>
  <si>
    <t>CPI (c)</t>
  </si>
  <si>
    <t>Medical (d)</t>
  </si>
  <si>
    <t>Total Medical (e)</t>
  </si>
  <si>
    <t>(i)</t>
  </si>
  <si>
    <t>(ii)</t>
  </si>
  <si>
    <t>(iii)</t>
  </si>
  <si>
    <t>(iv),(v)</t>
  </si>
  <si>
    <t>(v)</t>
  </si>
  <si>
    <t>Based on a component of the Consumer Price Index. Projections furnished by the California Department of Finance.</t>
  </si>
  <si>
    <t>Adjusted CPI on workers' compensation medical costs that are not subject to fee schedules.  The current year impact is the weighted average of 0% and Column (4), with Columns (1) and (2) from prior years as weights.  (i) 1993's non-fee proportion is reduced by 13.8% due to the new medical-legal fee schedule enacted in 1994.  (ii) 1998's non-fee proportion is reduced by 7.7% due to the Inpatient Hospital Fee Schedule (IHFS) effective 4/1/1999.  (iii) 2002's non-fee proportion is reduced by 7.6% due to the new pharmaceutical fee schedule effective 1/1/2003.  (iv) 2003's non-fee proportion is reduced by 17.2% due to the outpatient fee schedule effective 1/1/2004.  (v) Given the anticipated impact of legislative reform, a 0% inflation rate has been assumed for 2004 and 2005.</t>
  </si>
  <si>
    <t>Column (6) = Column (3) + Column (5).</t>
  </si>
  <si>
    <t>Annual Medical Cost Level Change - Legislative</t>
  </si>
  <si>
    <t>Annual Legislative</t>
  </si>
  <si>
    <t>Annual Legislative Cost Impact</t>
  </si>
  <si>
    <t>Annual Total</t>
  </si>
  <si>
    <t xml:space="preserve">Cost Impact on </t>
  </si>
  <si>
    <t>on Medical Due to</t>
  </si>
  <si>
    <t>Legislative Cost</t>
  </si>
  <si>
    <t>This reflects the annual percentage impact on medical costs due to changes in the frequency of indemnity claims as a result of benefit changes.</t>
  </si>
  <si>
    <t xml:space="preserve">[Column (1) + 1.0] x [Column (2) + 1.0] - 1.0 </t>
  </si>
  <si>
    <t>Total Medical Cost Level Factors</t>
  </si>
  <si>
    <t>Total</t>
  </si>
  <si>
    <t>Legislative</t>
  </si>
  <si>
    <t>Annual Cost</t>
  </si>
  <si>
    <t>On-level</t>
  </si>
  <si>
    <t>Medical (a)</t>
  </si>
  <si>
    <t>See Exhibit 4.2, Column (6).</t>
  </si>
  <si>
    <t>See Exhibit 4.3, Column (3).</t>
  </si>
  <si>
    <t>Column (3) = [1.0 + Column (1) ] x [1.0 + Column (2)] - 1.0.</t>
  </si>
  <si>
    <t xml:space="preserve"> (d)</t>
  </si>
  <si>
    <t xml:space="preserve">Annual Wage Level Changes   </t>
  </si>
  <si>
    <t>Annual Wage</t>
  </si>
  <si>
    <t>Premium Adjustment Factors</t>
  </si>
  <si>
    <t>(2a)</t>
  </si>
  <si>
    <t>(2b)</t>
  </si>
  <si>
    <t>(2c)</t>
  </si>
  <si>
    <t>(7)</t>
  </si>
  <si>
    <t>Ratio of</t>
  </si>
  <si>
    <t>Factor to</t>
  </si>
  <si>
    <t>Insurer Premium</t>
  </si>
  <si>
    <t>Off-Balance</t>
  </si>
  <si>
    <t>Industry Average</t>
  </si>
  <si>
    <t>Industry</t>
  </si>
  <si>
    <t>to an Industry</t>
  </si>
  <si>
    <t>Correction in</t>
  </si>
  <si>
    <t>Charged Rates</t>
  </si>
  <si>
    <t>Average Filed</t>
  </si>
  <si>
    <t>Adjustment</t>
  </si>
  <si>
    <t>Advisory</t>
  </si>
  <si>
    <t>for Impact</t>
  </si>
  <si>
    <t>to Advisory</t>
  </si>
  <si>
    <t>Pure Premium</t>
  </si>
  <si>
    <t xml:space="preserve">Pure Premium </t>
  </si>
  <si>
    <t>to Remove</t>
  </si>
  <si>
    <t>Average</t>
  </si>
  <si>
    <t>of Premium</t>
  </si>
  <si>
    <t>Calendar</t>
  </si>
  <si>
    <t>Rate Level as of</t>
  </si>
  <si>
    <t>Surcharge</t>
  </si>
  <si>
    <t>Experience</t>
  </si>
  <si>
    <t>Resulting from</t>
  </si>
  <si>
    <t>Wage Level (a)</t>
  </si>
  <si>
    <t>Rates (b)</t>
  </si>
  <si>
    <t>Premium (e)</t>
  </si>
  <si>
    <t>Modification (f)</t>
  </si>
  <si>
    <t>Rates</t>
  </si>
  <si>
    <t>Audits (g)</t>
  </si>
  <si>
    <t>Factor (h)</t>
  </si>
  <si>
    <t>See Exhibit 5.1.</t>
  </si>
  <si>
    <t>Based on WCIRB calendar year experience calls.  The industry average charged rates reflect most rating plan adjustments but do not reflect</t>
  </si>
  <si>
    <t>the application of deductible credits or retrospective rating plan adjustments.</t>
  </si>
  <si>
    <t>(2b) ÷ (2a).  This column adjusts premiums at the industry average charged rate level to the industry average filed pure premium</t>
  </si>
  <si>
    <t>Based on unit statistical data.</t>
  </si>
  <si>
    <t xml:space="preserve">Based on average promulgated experience modifications.  Calendar years 1996 through 2000 include adjustments for the impacts of </t>
  </si>
  <si>
    <t>AB 1913 and SB 1217 (1998).</t>
  </si>
  <si>
    <t>(g)</t>
  </si>
  <si>
    <t>Based on a comparison of premium reported on a calendar year basis to premium reported on an estimated ultimate policy year basis over</t>
  </si>
  <si>
    <t>(h)</t>
  </si>
  <si>
    <t>Annual %</t>
  </si>
  <si>
    <t>Annual Log Differences</t>
  </si>
  <si>
    <t>Changes Intra-</t>
  </si>
  <si>
    <t>Intra-Class Indemnity Frequency</t>
  </si>
  <si>
    <t>AY+1</t>
  </si>
  <si>
    <t>Economic</t>
  </si>
  <si>
    <t>Class Ind Freq</t>
  </si>
  <si>
    <t>Variables</t>
  </si>
  <si>
    <t>AY</t>
  </si>
  <si>
    <t>Non-cum.</t>
  </si>
  <si>
    <t>Benefit Level</t>
  </si>
  <si>
    <t>Injury Index</t>
  </si>
  <si>
    <t>(1st Prin. Comp.)</t>
  </si>
  <si>
    <t>Y = Hazardousness-Adjusted Noncumulative Indemnity Claim Frequency</t>
  </si>
  <si>
    <t>Constant</t>
  </si>
  <si>
    <t>Std Err of Y Est</t>
  </si>
  <si>
    <t>R Squared</t>
  </si>
  <si>
    <t>No. of Observations</t>
  </si>
  <si>
    <t>Degrees of Freedom</t>
  </si>
  <si>
    <t>X Coefficient(s)</t>
  </si>
  <si>
    <t>Std Err of Coef.</t>
  </si>
  <si>
    <t>Notes:</t>
  </si>
  <si>
    <t>Projection of Indemnity Severity Trends by Accident Year</t>
  </si>
  <si>
    <t>Estimated</t>
  </si>
  <si>
    <t xml:space="preserve">Accident </t>
  </si>
  <si>
    <t>Severity</t>
  </si>
  <si>
    <t>% Change</t>
  </si>
  <si>
    <t>(1) x (3)</t>
  </si>
  <si>
    <t>Factor (a)</t>
  </si>
  <si>
    <t>Projection of Medical Severity Trends by Accident Year</t>
  </si>
  <si>
    <t>Severity (a)</t>
  </si>
  <si>
    <t>Factor (b)</t>
  </si>
  <si>
    <t>Adjusted to Remove the Cost of Medical Cost Containment Programs (MCCP)</t>
  </si>
  <si>
    <t>MCCP Removed Based on</t>
  </si>
  <si>
    <t>WCIRB Aggregate</t>
  </si>
  <si>
    <t>MCCP Included</t>
  </si>
  <si>
    <t>Calendar Year Data Calls (b)</t>
  </si>
  <si>
    <t>(8)</t>
  </si>
  <si>
    <t>(9)</t>
  </si>
  <si>
    <t>On-Level</t>
  </si>
  <si>
    <t>Severity (c)</t>
  </si>
  <si>
    <t>Selected Medical Severity Trend:</t>
  </si>
  <si>
    <t>Projected On-Level Accident Year</t>
  </si>
  <si>
    <t>Indemnity Loss to Industry Average Filed Pure Premium Ratios</t>
  </si>
  <si>
    <t>On-Level Indemnity to</t>
  </si>
  <si>
    <t>Developed Indemnity</t>
  </si>
  <si>
    <t>Composite Indemnity</t>
  </si>
  <si>
    <t>Composite Premium</t>
  </si>
  <si>
    <t>Industry Average Filed</t>
  </si>
  <si>
    <t>Pure Premium Ratio</t>
  </si>
  <si>
    <t>(1)×(2)÷(3)</t>
  </si>
  <si>
    <t>Projections (d)</t>
  </si>
  <si>
    <t>See Exhibit 3.1.</t>
  </si>
  <si>
    <t>See Exhibit 4.1.</t>
  </si>
  <si>
    <t>See Exhibit 5.2.</t>
  </si>
  <si>
    <t>Medical Loss to Industry Average Filed Pure Premium Ratios</t>
  </si>
  <si>
    <t>On-Level Medical to</t>
  </si>
  <si>
    <t>Developed Medical</t>
  </si>
  <si>
    <t>Composite Medical</t>
  </si>
  <si>
    <t>See Exhibit 3.2. Medical loss ratios for accident years 2011 and subsequent do not reflect the cost of medical cost containment programs (MCCP). Ratios for accident years 2010 and prior do reflect MCCP costs.</t>
  </si>
  <si>
    <t>See Exhibit 4.4.</t>
  </si>
  <si>
    <t>1.</t>
  </si>
  <si>
    <t>Projected Loss to Industry Average Filed Pure Premium Ratio
(See Exhibits 7.1 and 7.3)</t>
  </si>
  <si>
    <t>Projected Loss Adjustment Expense Factor</t>
  </si>
  <si>
    <t>4.</t>
  </si>
  <si>
    <t>6.</t>
  </si>
  <si>
    <t>Cumulative Unadjusted</t>
  </si>
  <si>
    <t>The Indemnity Benefit Level variable has been revised due to on-leveling reassessments.  See Actuarial Committee item AC09-03-03.</t>
  </si>
  <si>
    <t>Factor</t>
  </si>
  <si>
    <t>Adj</t>
  </si>
  <si>
    <t>Estimated Annual Exponential Trend</t>
  </si>
  <si>
    <t>Frequency Adj (Exh 6.1)</t>
  </si>
  <si>
    <t>Projection Assumptions</t>
  </si>
  <si>
    <t>Severity Trend (Exh 6.4)</t>
  </si>
  <si>
    <t>With Separate Adjustments on Open and Closed Claims</t>
  </si>
  <si>
    <t>for Changes in Claim Settlement Rates</t>
  </si>
  <si>
    <t>A. Total Reported Indemnity Claim Counts</t>
  </si>
  <si>
    <t xml:space="preserve">B. Development of Total Reported Indemnity Claim Counts </t>
  </si>
  <si>
    <t>Latest Year</t>
  </si>
  <si>
    <t>Acc. Year</t>
  </si>
  <si>
    <t>Ult. Claim Counts</t>
  </si>
  <si>
    <t>C. Closed Indemnity Claim Counts</t>
  </si>
  <si>
    <t>F. Average Paid Indemnity per Closed Claim</t>
  </si>
  <si>
    <t>Ratio of closed indemnity claim counts (Item C) to the estimated ultimate indemnity claim counts (Item B) for that accident year.</t>
  </si>
  <si>
    <t>The claim counts for the latest evaluation of each accident year are equal to the reported number of closed indemnity claims.  All prior evaluations shown are the product of the latest ultimate indemnity claim settlement ratio (Item D) and the ultimate indemnity claim counts (Item B) for that accident year.</t>
  </si>
  <si>
    <t>I. Paid Indemnity on Open Claims (in $000)</t>
  </si>
  <si>
    <t>Adjusted based on ultimate indemnity claim settlement ratios (Item D) and assuming a log-linear relationship between maturities.</t>
  </si>
  <si>
    <t>Each amount is the product of the adjusted closed indemnity claim counts (Item E) and the adjusted average paid indemnity per closed claim (Item G), and divided by $1,000.</t>
  </si>
  <si>
    <t xml:space="preserve">K. Changes in Paid Indemnity on Open Claims Resulting from the Impact of Changes in </t>
  </si>
  <si>
    <t>Each amount is equal to the product of [the average monthly indemnity payment per open indemnity claim] and [the number of months for the current evaluation].  For evaluations indicating claim settlement rate decreases, the average monthly indemnity payment per open indemnity claim at the prior evaluation is used.  For evaluations indicating claim settlement rate increases, the average monthly indemnity payment per open indemnity claim at the same evaluation is used.</t>
  </si>
  <si>
    <t>Each amount is equal to [the difference between unadjusted and adjusted closed indemnity claim counts (Items C and E)] multiplied by the corresponding [average paid indemnity per open claim for indemnity claims in transition (Item J)].</t>
  </si>
  <si>
    <t>Each amount is the sum of [paid indemnity on open claims (Item I)] and the corresponding [incremental changes in paid indemnity on open claims resulting from the impact of changes in claim settlement rates (Item K)].</t>
  </si>
  <si>
    <t>N. Paid Indemnity Loss Development Factors Based on Adjusted Total Paid Indemnity</t>
  </si>
  <si>
    <t>3-Year Average</t>
  </si>
  <si>
    <t>Each amount is the sum of the adjusted paid indemnity on closed claims (Item H) and the adjusted paid indemnity on open claims (Item L).</t>
  </si>
  <si>
    <t xml:space="preserve">Development factors are based on paid indemnity losses from the same insurer mix as that used in the adjustment for changes in claim settlement rates and applied in the calculation of the development factors in Item N.  </t>
  </si>
  <si>
    <t>(j)</t>
  </si>
  <si>
    <t>Each factor represents the change in age-to-age development factors from Item O to those in Item N.</t>
  </si>
  <si>
    <t>(k)</t>
  </si>
  <si>
    <t>Source:  Accident year experience of insurers with available claim count data</t>
  </si>
  <si>
    <t>F. Average Paid Medical per Closed Indemnity Claim</t>
  </si>
  <si>
    <t>I. Paid Medical on Open Indemnity Claims (in $000)</t>
  </si>
  <si>
    <t>Each amount is equal to the product of [adjusted closed indemnity claim counts (Item E)] and [adjusted average paid medical per closed indemnity claim (Item G)], and divided by $1,000.</t>
  </si>
  <si>
    <t xml:space="preserve">K. Changes in Paid Medical on Open Indemnity Claims Resulting from the Impact of Changes in </t>
  </si>
  <si>
    <t>Each amount is equal to the product of [the average monthly medical payment per open indemnity claim] and [the number of months for the current evaluation].  For evaluations indicating claim settlement rate decreases, the average monthly medical payment per open indemnity claim at the prior evaluation is used.  For evaluations indicating claim settlement rate increases, the average monthly medical payment per open indemnity claim at the same evaluation is used.</t>
  </si>
  <si>
    <t>Each amount is equal to [the difference between unadjusted and adjusted closed indemnity claim counts (Items C and E)] multiplied by [the corresponding average paid medical per open indemnity claim for indemnity claims in transition (Item J)].</t>
  </si>
  <si>
    <t>Each amount is the sum of [paid medical on open indemnity claims (Item I)] and the corresponding [incremental changes in paid medical on open indemnity claims resulting from the impact of changes in indemnity claim settlement rates (Item K)].</t>
  </si>
  <si>
    <t>M. Paid Medical on Medical-Only Claims (in $000)</t>
  </si>
  <si>
    <t>O. Paid Medical Loss Development Factors Based on Adjusted Total Paid Medical</t>
  </si>
  <si>
    <t>Development factors are based on paid medical losses from the same insurer mix as that used in the adjustment for changes in claim settlement rates and applied in the calculation of the development factors in Item O.</t>
  </si>
  <si>
    <t>Each factor represents the change in age-to-age development factors from Item P to those in Item O.</t>
  </si>
  <si>
    <t>7.</t>
  </si>
  <si>
    <t>Severity Trend (Exh 6.2)</t>
  </si>
  <si>
    <t>Shown for informational purposes only.</t>
  </si>
  <si>
    <t>Incurred medical loss development factors include the paid cost of medical cost containment programs for accident years 2011 and prior.</t>
  </si>
  <si>
    <t>Paid medical loss development factors include the paid cost of medical cost containment programs for accident years 2011 and prior.</t>
  </si>
  <si>
    <t>Each factor is the product of [1.0 + the impact of adjustment for changes in claim settlement rates (Item Q)] and [the adjusted paid medical age-to-age development factor from Exhibit 2.6.1].</t>
  </si>
  <si>
    <t>See Exhibits 2.5.1 and 2.5.2.</t>
  </si>
  <si>
    <t>Source:</t>
  </si>
  <si>
    <t>Age-to-Age (in months) (b)</t>
  </si>
  <si>
    <t>Adjusted for Changes in Claim Settlement Rates</t>
  </si>
  <si>
    <t>Evaluated as of (in months)</t>
  </si>
  <si>
    <r>
      <t>D. Ultimate Indemnity Claim Settlement Ratio</t>
    </r>
    <r>
      <rPr>
        <sz val="10"/>
        <rFont val="Arial"/>
        <family val="2"/>
      </rPr>
      <t xml:space="preserve"> (a)</t>
    </r>
  </si>
  <si>
    <r>
      <t>E. Adjusted Closed Indemnity Claim Counts at Equal Percentiles of Ultimate Claim Counts</t>
    </r>
    <r>
      <rPr>
        <sz val="10"/>
        <rFont val="Arial"/>
        <family val="2"/>
      </rPr>
      <t xml:space="preserve"> (b)</t>
    </r>
  </si>
  <si>
    <r>
      <t>G. Adjusted Average Paid Indemnity per Closed Claim</t>
    </r>
    <r>
      <rPr>
        <sz val="10"/>
        <rFont val="Arial"/>
        <family val="2"/>
      </rPr>
      <t xml:space="preserve"> (c)</t>
    </r>
  </si>
  <si>
    <r>
      <t>H. Adjusted Paid Indemnity on Closed Claims (in $000)</t>
    </r>
    <r>
      <rPr>
        <sz val="10"/>
        <rFont val="Arial"/>
        <family val="2"/>
      </rPr>
      <t xml:space="preserve"> (d)</t>
    </r>
  </si>
  <si>
    <r>
      <t>J. Average Paid Indemnity per Open Claim for Indemnity Claims in Transition</t>
    </r>
    <r>
      <rPr>
        <sz val="10"/>
        <rFont val="Arial"/>
        <family val="2"/>
      </rPr>
      <t xml:space="preserve"> (e)</t>
    </r>
  </si>
  <si>
    <r>
      <t xml:space="preserve">     </t>
    </r>
    <r>
      <rPr>
        <u/>
        <sz val="10"/>
        <rFont val="Arial"/>
        <family val="2"/>
      </rPr>
      <t>Claim Settlement Rates (in $000)</t>
    </r>
    <r>
      <rPr>
        <sz val="10"/>
        <rFont val="Arial"/>
        <family val="2"/>
      </rPr>
      <t xml:space="preserve"> (f)</t>
    </r>
  </si>
  <si>
    <r>
      <t>L. Adjusted Paid Indemnity on Open Claims (in $000)</t>
    </r>
    <r>
      <rPr>
        <sz val="10"/>
        <rFont val="Arial"/>
        <family val="2"/>
      </rPr>
      <t xml:space="preserve"> (g)</t>
    </r>
  </si>
  <si>
    <r>
      <t>M. Adjusted Total Paid Indemnity (in $000)</t>
    </r>
    <r>
      <rPr>
        <sz val="10"/>
        <rFont val="Arial"/>
        <family val="2"/>
      </rPr>
      <t xml:space="preserve"> (h)</t>
    </r>
  </si>
  <si>
    <r>
      <t>O. Paid Indemnity Loss Development Factors</t>
    </r>
    <r>
      <rPr>
        <sz val="10"/>
        <rFont val="Arial"/>
        <family val="2"/>
      </rPr>
      <t xml:space="preserve"> (i)</t>
    </r>
  </si>
  <si>
    <r>
      <t>P. Impact of Adjustment for Changes in Claim Settlement Rates</t>
    </r>
    <r>
      <rPr>
        <sz val="10"/>
        <rFont val="Arial"/>
        <family val="2"/>
      </rPr>
      <t xml:space="preserve"> (j)</t>
    </r>
  </si>
  <si>
    <r>
      <t>G. Adjusted Average Paid Medical per Closed Indemnity Claim</t>
    </r>
    <r>
      <rPr>
        <sz val="10"/>
        <rFont val="Arial"/>
        <family val="2"/>
      </rPr>
      <t xml:space="preserve"> (c)</t>
    </r>
  </si>
  <si>
    <r>
      <t>H. Adjusted Paid Medical (in $000) on Closed Indemnity Claims</t>
    </r>
    <r>
      <rPr>
        <sz val="10"/>
        <rFont val="Arial"/>
        <family val="2"/>
      </rPr>
      <t xml:space="preserve"> (d)</t>
    </r>
  </si>
  <si>
    <r>
      <t>J. Average Paid Medical per Open Indemnity Claim for Indemnity Claims in Transition</t>
    </r>
    <r>
      <rPr>
        <sz val="10"/>
        <rFont val="Arial"/>
        <family val="2"/>
      </rPr>
      <t xml:space="preserve"> (e)</t>
    </r>
  </si>
  <si>
    <r>
      <t xml:space="preserve">     </t>
    </r>
    <r>
      <rPr>
        <u/>
        <sz val="10"/>
        <rFont val="Arial"/>
        <family val="2"/>
      </rPr>
      <t>Indemnity Claim Settlement Rates (in $000)</t>
    </r>
    <r>
      <rPr>
        <sz val="10"/>
        <rFont val="Arial"/>
        <family val="2"/>
      </rPr>
      <t xml:space="preserve"> (f)</t>
    </r>
  </si>
  <si>
    <r>
      <t>L. Adjusted Paid Medical on Open Indemnity Claims (in $000)</t>
    </r>
    <r>
      <rPr>
        <sz val="10"/>
        <rFont val="Arial"/>
        <family val="2"/>
      </rPr>
      <t xml:space="preserve"> (g)</t>
    </r>
  </si>
  <si>
    <r>
      <t>N. Adjusted Total Paid Medical (in $000)</t>
    </r>
    <r>
      <rPr>
        <sz val="10"/>
        <rFont val="Arial"/>
        <family val="2"/>
      </rPr>
      <t xml:space="preserve"> (h)</t>
    </r>
  </si>
  <si>
    <t>Each amount is the sum of [adjusted paid medical on closed indemnity claims (Item H)], [adjusted paid medical on open indemnity claims (Item L)] and [paid medical on medical-only claims (Item M)].  The effect of the paid cost of medical cost containment programs are only present for accident years 2011 and prior.</t>
  </si>
  <si>
    <r>
      <t>P. Paid Medical Loss Development Factors</t>
    </r>
    <r>
      <rPr>
        <sz val="10"/>
        <rFont val="Arial"/>
        <family val="2"/>
      </rPr>
      <t xml:space="preserve"> (i)</t>
    </r>
  </si>
  <si>
    <r>
      <t>Q. Impact of Adjustment for Changes in Indemnity Claim Settlement Rates</t>
    </r>
    <r>
      <rPr>
        <sz val="10"/>
        <rFont val="Arial"/>
        <family val="2"/>
      </rPr>
      <t xml:space="preserve"> (j)</t>
    </r>
  </si>
  <si>
    <t>Medical**</t>
  </si>
  <si>
    <t xml:space="preserve">Cumulative Adjusted </t>
  </si>
  <si>
    <t>for Impact of SB 1160</t>
  </si>
  <si>
    <t xml:space="preserve">Cumulative Unadjusted </t>
  </si>
  <si>
    <t>Cumulative Adjusted</t>
  </si>
  <si>
    <t>for Impact of SB 1160(d)</t>
  </si>
  <si>
    <t>Reform Adjusted</t>
  </si>
  <si>
    <t>See Exhibits 2.6.1 and 2.6.2.</t>
  </si>
  <si>
    <t xml:space="preserve">Based on WCIRB evaluations of the average impact of legislative changes on the cost of indemnity benefits.  These annual changes in benefits reflect the WCIRB's retrospective estimates of the cost impact of recent legislation as reflected in emerging post-reform costs.  The annual cost impacts have been segregated between claim severity and claim frequency impacts. </t>
  </si>
  <si>
    <t>(a) These adjustment factors are based on Exhibit 4.1, excluding the impact of frequency.</t>
  </si>
  <si>
    <t>From a Special Carrier Study through 1990. Based on WCIRB's Aggregate Indemnity and Medical Costs Calls for years 1991 through 2012. Based on WCIRB medical transaction data from 2013 onwards. Accident years 2011 and subsequent do not include MCCP costs.</t>
  </si>
  <si>
    <t xml:space="preserve">(g)  </t>
  </si>
  <si>
    <r>
      <t xml:space="preserve">Projected Ultimate 
</t>
    </r>
    <r>
      <rPr>
        <u/>
        <sz val="10"/>
        <rFont val="Arial"/>
        <family val="2"/>
      </rPr>
      <t>Loss Ratio</t>
    </r>
  </si>
  <si>
    <t>(4) = (1) x (3)</t>
  </si>
  <si>
    <t>5.</t>
  </si>
  <si>
    <t>Developed</t>
  </si>
  <si>
    <t>Loss Ratio (b)</t>
  </si>
  <si>
    <t>Loss Ratio (d)</t>
  </si>
  <si>
    <t>2.</t>
  </si>
  <si>
    <t>3.</t>
  </si>
  <si>
    <r>
      <t xml:space="preserve">Accident
</t>
    </r>
    <r>
      <rPr>
        <u/>
        <sz val="10"/>
        <rFont val="Arial"/>
        <family val="2"/>
      </rPr>
      <t>Year</t>
    </r>
  </si>
  <si>
    <t>Reflects the WCIRB’s most recent estimates of the cost impact of legislation. Does not include the impact of the SB 1160 lien provisions on future medical costs as well as the estimated reductions to pharmaceutical costs attributable to SB 863, which are reflected in the medical loss development projections.</t>
  </si>
  <si>
    <t>(ALAE + MCCP + ULAE, See Appendix C)</t>
  </si>
  <si>
    <t>Age</t>
  </si>
  <si>
    <t>Projected:</t>
  </si>
  <si>
    <t>N/A</t>
  </si>
  <si>
    <t>Loss Ratio (a)</t>
  </si>
  <si>
    <t>Adjustment Factor (b)</t>
  </si>
  <si>
    <t>Adjustment Factor (c)</t>
  </si>
  <si>
    <t>On-Level Factor (b)</t>
  </si>
  <si>
    <t>Pure Premium Ratio (e)</t>
  </si>
  <si>
    <t>Accident years 2011 and subsequent do not reflect the paid MCCP costs.  Accident years 2010 and prior do reflect paid MCCP costs.</t>
  </si>
  <si>
    <t xml:space="preserve">         Aggregate Indemnity and Medical Costs.</t>
  </si>
  <si>
    <t>Level Change (a)</t>
  </si>
  <si>
    <t>Medical (b)</t>
  </si>
  <si>
    <t>Medical (c)</t>
  </si>
  <si>
    <t>Medical Severity (a)</t>
  </si>
  <si>
    <t>Frequency Changes (b)</t>
  </si>
  <si>
    <t>Impact on Medical (c)</t>
  </si>
  <si>
    <t>Annual (c)</t>
  </si>
  <si>
    <t>Annual (b)</t>
  </si>
  <si>
    <t>AYE</t>
  </si>
  <si>
    <t>Exhibit 2.5.3</t>
  </si>
  <si>
    <t>Exhibit 2.5.4</t>
  </si>
  <si>
    <t>Exhibit 2.5.5</t>
  </si>
  <si>
    <t>Exhibit 2.5.6</t>
  </si>
  <si>
    <t>Exhibit 2.5.7</t>
  </si>
  <si>
    <t>Exhibit 2.5.8</t>
  </si>
  <si>
    <t>Exhibit 2.6.3</t>
  </si>
  <si>
    <t>Exhibit 2.6.4</t>
  </si>
  <si>
    <t>Exhibit 2.6.5</t>
  </si>
  <si>
    <t>Exhibit 2.6.6</t>
  </si>
  <si>
    <t>Exhibit 2.6.7</t>
  </si>
  <si>
    <t>Exhibit 2.6.8</t>
  </si>
  <si>
    <t>Each factor is the product of [1.0 + the impact of adjustment for changes in claim settlement rates (Item P)]</t>
  </si>
  <si>
    <t>and [the paid indemnity age-to-age development factor from Exhibit 2.5.1].</t>
  </si>
  <si>
    <r>
      <t xml:space="preserve">Paid Loss </t>
    </r>
    <r>
      <rPr>
        <u/>
        <sz val="10"/>
        <rFont val="Arial"/>
        <family val="2"/>
      </rPr>
      <t>Ratio (a)</t>
    </r>
  </si>
  <si>
    <t>Paid</t>
  </si>
  <si>
    <t>changes in claim settlement rates.</t>
  </si>
  <si>
    <t>(2) x (4)</t>
  </si>
  <si>
    <t>(1) + ((5) - (2))</t>
  </si>
  <si>
    <t>for Impact of SB 1160(e)</t>
  </si>
  <si>
    <t>Unadjusted (c)</t>
  </si>
  <si>
    <t>Selected (f)</t>
  </si>
  <si>
    <r>
      <rPr>
        <sz val="10"/>
        <rFont val="Arial"/>
        <family val="2"/>
      </rPr>
      <t xml:space="preserve">    </t>
    </r>
    <r>
      <rPr>
        <u/>
        <sz val="10"/>
        <rFont val="Arial"/>
        <family val="2"/>
      </rPr>
      <t>Indemnity Claim Settlement Rates (k)</t>
    </r>
  </si>
  <si>
    <t>Q. Paid Indemnity Loss Development Factors Adjusted for Changes in</t>
  </si>
  <si>
    <r>
      <rPr>
        <sz val="10"/>
        <rFont val="Arial"/>
        <family val="2"/>
      </rPr>
      <t xml:space="preserve">     </t>
    </r>
    <r>
      <rPr>
        <u/>
        <sz val="10"/>
        <rFont val="Arial"/>
        <family val="2"/>
      </rPr>
      <t>Claim Settlement Rates</t>
    </r>
    <r>
      <rPr>
        <sz val="10"/>
        <rFont val="Arial"/>
        <family val="2"/>
      </rPr>
      <t xml:space="preserve"> (k)</t>
    </r>
  </si>
  <si>
    <t>R. Paid Medical Loss Development Factors Adjusted for Changes in Indemnity</t>
  </si>
  <si>
    <t>LAE</t>
  </si>
  <si>
    <t>9.</t>
  </si>
  <si>
    <t>8.</t>
  </si>
  <si>
    <t>Exhibit 2.5.9</t>
  </si>
  <si>
    <t>Exhibit 2.5.10</t>
  </si>
  <si>
    <t>Exhibit 2.5.11</t>
  </si>
  <si>
    <t>3-Year Historical Avg.</t>
  </si>
  <si>
    <t>Exhibit 2.5.12</t>
  </si>
  <si>
    <t>Ratio of closed indemnity claim counts (Item 1) to the estimated ultimate indemnity claim counts (Item 2) for that accident year.</t>
  </si>
  <si>
    <t>Paid Loss Development Factors</t>
  </si>
  <si>
    <t>Adjusted for the Impact of Claim Settlement Rate</t>
  </si>
  <si>
    <t>Changes on Later Period Development</t>
  </si>
  <si>
    <t>Based on the latest year age-to-age development in indemnity claim counts. See Exhibit 2.5.3.</t>
  </si>
  <si>
    <t>2.  Ult. Claim Counts (a)</t>
  </si>
  <si>
    <t>3. Ultimate Indemnity Claim Settlement Ratio (b)</t>
  </si>
  <si>
    <t>4. Ratio of Incremental Closed Indemnity Claims to Estimated Prior Open Indemnity Claims (c)</t>
  </si>
  <si>
    <t>Share of Open on Prior (d)</t>
  </si>
  <si>
    <t>Equal to 1.0 minus the selected ratio of incremental closed indemnity claims to prior open indemnity claims from Item 4.</t>
  </si>
  <si>
    <t>Equal to [the difference in ultimate indemnity claim settlement ratios from the prior evaluation (Item 3)] divided by</t>
  </si>
  <si>
    <t>[1.0 less the ultimate indemnity claim settlement ratio from the prior evaluation].</t>
  </si>
  <si>
    <t>1.  Reported Closed Indemnity Claim Counts</t>
  </si>
  <si>
    <t>5.  Projected Open + IBNR Indemnity Claim Counts (e)</t>
  </si>
  <si>
    <t>…</t>
  </si>
  <si>
    <t>Equal to the Projected Open + IBNR Indemnity Claim Counts (Item 5) divided by the Ultimate Indemnity Claim Counts (Item 2).</t>
  </si>
  <si>
    <t>The italicized diagonals are based on historical data while the remaining figures are projections.</t>
  </si>
  <si>
    <t>Equal to the Ratio of Projected Open Claim Counts to Ultimate Claim Counts (Item 6) divided by the three-year historical average.</t>
  </si>
  <si>
    <t>6. Ratio of Projected Open Claim Counts to Ultimate Claim Counts (f)</t>
  </si>
  <si>
    <t>7. Ratio of Projected Percent Open to Historical Percent Open (g)</t>
  </si>
  <si>
    <t>9.  Adjustment Ratio (i)</t>
  </si>
  <si>
    <t>Age-to-Age Paid Development (in months):</t>
  </si>
  <si>
    <t>Indemnity development factors are from Exhibit 2.3.2. Medical development factors are from Exhibit 2.4.2 and include</t>
  </si>
  <si>
    <t>adjustments for SB 1160 and changes in pharmaceutical costs.</t>
  </si>
  <si>
    <t>Equal to the Ratio of Projected Percent Open to Historical Percent Open (Item 7) for the given accident year, with the</t>
  </si>
  <si>
    <t>difference from 1.0 adjusted by 40% to reflect the estimated impact of claim settlement rate changes on later period development.</t>
  </si>
  <si>
    <t>Equal to the [three year average factors (Item 8) - 1.0] multiplied by the Adjustment Ratio (Item 9), and adding 1.0.</t>
  </si>
  <si>
    <t>10.  Adjusted Factors (j)</t>
  </si>
  <si>
    <t>8.  3-Year Average (h)</t>
  </si>
  <si>
    <t>Adjusted (a)(b)</t>
  </si>
  <si>
    <t>Based on Exhibit 1.</t>
  </si>
  <si>
    <t>Based on Exhibit 1. Paid MCCP costs are excluded from accident years 2011 and subsequent.</t>
  </si>
  <si>
    <t>Cumulative (c)</t>
  </si>
  <si>
    <t>Accident Year Indemnity Claim Frequency Model</t>
  </si>
  <si>
    <t>Indicated Loss to Industry Average Filed Pure Premium Ratios and Average Pure Premium Rate</t>
  </si>
  <si>
    <t>The italicized diagonal is equal to the Ultimate Indemnity Claim Counts (Item 2) less the Reported Closed Indemnity</t>
  </si>
  <si>
    <t>Claim Counts (Item 1) as of the latest evaluation. The remaining figures are projected based on the italicized diagonal and</t>
  </si>
  <si>
    <t>the Share of Open on Prior from Item 4.</t>
  </si>
  <si>
    <t>PDRS Adjustment</t>
  </si>
  <si>
    <t>w/ PDRS</t>
  </si>
  <si>
    <t>w/o PDRS</t>
  </si>
  <si>
    <t>Reform Adj - w/ Freq</t>
  </si>
  <si>
    <t>Reform Adj - w/o Freq</t>
  </si>
  <si>
    <t>PDRS weights</t>
  </si>
  <si>
    <t>(Annual 0.0%)</t>
  </si>
  <si>
    <t>and extrapolated to 80 development years.</t>
  </si>
  <si>
    <t>Factors as noted in footnote (f):</t>
  </si>
  <si>
    <t>SB 1160</t>
  </si>
  <si>
    <t>Factors as noted in footnote (d):</t>
  </si>
  <si>
    <t>to 80 development years.</t>
  </si>
  <si>
    <t>extrapolated to 80 development years.</t>
  </si>
  <si>
    <t>ALAE</t>
  </si>
  <si>
    <t>MCCP</t>
  </si>
  <si>
    <t>ULAE</t>
  </si>
  <si>
    <t>Selections are latest year for the 12-to-24 month through 96-to-108 month factors and six-year average for the subsequent age-to-age factors.</t>
  </si>
  <si>
    <t>24/12</t>
  </si>
  <si>
    <t>36/24</t>
  </si>
  <si>
    <t>48/36</t>
  </si>
  <si>
    <t>60/48</t>
  </si>
  <si>
    <t>72/60</t>
  </si>
  <si>
    <t>84/72</t>
  </si>
  <si>
    <t>96/84</t>
  </si>
  <si>
    <t>108/96</t>
  </si>
  <si>
    <t>120/108</t>
  </si>
  <si>
    <t>132/120</t>
  </si>
  <si>
    <t>144/132</t>
  </si>
  <si>
    <t>156/144</t>
  </si>
  <si>
    <t>168/156</t>
  </si>
  <si>
    <t>180/168</t>
  </si>
  <si>
    <t>192/180</t>
  </si>
  <si>
    <t>204/192</t>
  </si>
  <si>
    <t>216/204</t>
  </si>
  <si>
    <t>228/216</t>
  </si>
  <si>
    <t>240/228</t>
  </si>
  <si>
    <t>252/240</t>
  </si>
  <si>
    <t>264/252</t>
  </si>
  <si>
    <t>276/264</t>
  </si>
  <si>
    <t>288/276</t>
  </si>
  <si>
    <t>300/288</t>
  </si>
  <si>
    <t>312/300</t>
  </si>
  <si>
    <t>324/312</t>
  </si>
  <si>
    <t>336/324</t>
  </si>
  <si>
    <t>348/336</t>
  </si>
  <si>
    <t>360/348</t>
  </si>
  <si>
    <t>372/360</t>
  </si>
  <si>
    <t>384/372</t>
  </si>
  <si>
    <t>396/384</t>
  </si>
  <si>
    <t>408/396</t>
  </si>
  <si>
    <t>420/408</t>
  </si>
  <si>
    <t>432/420</t>
  </si>
  <si>
    <t>Selections are latest year for the 12-to-24 month through 96-to-108 month factors and three-year average for the subsequent age-to-age factors.</t>
  </si>
  <si>
    <t>Age-to-Age Development (in months):</t>
  </si>
  <si>
    <t>Source:  Accident year experience of insurers with available claim count data, excluding COVID-19 claims.</t>
  </si>
  <si>
    <t>2-Year Average</t>
  </si>
  <si>
    <t>Source:  Accident year experience of insurers with available claim count and paid loss data, excluding COVID-19 claims.</t>
  </si>
  <si>
    <t>These impacts are based on the weekly wages (see column 2 of Exhibit 5.1) of injured workers and the legislatively scheduled benefits for that year.</t>
  </si>
  <si>
    <t>Level Change (b)</t>
  </si>
  <si>
    <t>Wage Level (c)</t>
  </si>
  <si>
    <t xml:space="preserve">(c) </t>
  </si>
  <si>
    <t>Source: WCIRB quarterly experience calls, excluding COVID-19 claims.</t>
  </si>
  <si>
    <t>Accident Year Experience as of December 31, 2021</t>
  </si>
  <si>
    <t>Based on Experience as of December 31, 2021</t>
  </si>
  <si>
    <t>As of PY 2019 Preliminary 1st Set &amp; March 2022 UCLA</t>
  </si>
  <si>
    <t>per $M Exposure at PY 2020 Level</t>
  </si>
  <si>
    <t>2020*</t>
  </si>
  <si>
    <t>The Indemnity Benefit Level variable is concurrent. The AY 2004 benefit level change is related to the AY 2004 change in non-cumulative frequency.</t>
  </si>
  <si>
    <t>The Indemnity Benefit Level variable excludes indemnity benefit utilization, cost-of-living adjustments, and changes in the death and permanent total benefits.</t>
  </si>
  <si>
    <t>For 1993 on, cumulative claims include both cumulative trauma and occupational disease claims. See Actuarial Committee item AC14-03-19.</t>
  </si>
  <si>
    <t xml:space="preserve">The definition of cumulative claims has been further amended to include claims coded with certain nature of injury codes in USR. See </t>
  </si>
  <si>
    <t>Actuarial Committee item AC21-12-09.</t>
  </si>
  <si>
    <t>Economic variables are historical through 2021; March 2022 UCLA Anderson Forecasts for 2022 on.</t>
  </si>
  <si>
    <t>The indicator variable for Cal-OSHA inspections has been moved into an on-level adjustment. See Actuarial Committee item AC21-12-09.</t>
  </si>
  <si>
    <t>Regression is over AY 1979 through AY 2019. AY 2021 through AY 2024 are projections.</t>
  </si>
  <si>
    <t>The constant term includes measured offsets of -0.020 that recognized annual changes in real benefit levels relative to nominal</t>
  </si>
  <si>
    <t>benefit levels and long-term economic growth.</t>
  </si>
  <si>
    <t>*AY 2020 is preliminary and change is based on a comparison of 2020 accidents on 2019 policies to 2019 accidents on 2018 policies.</t>
  </si>
  <si>
    <t>WCIRB quarterly experience calls, excluding COVID-19 claims and COVID-19 premium charges.</t>
  </si>
  <si>
    <t>444/432</t>
  </si>
  <si>
    <t>ULT/444Inc (b)</t>
  </si>
  <si>
    <t>The ULT/444Inc tail factor was calculated based on an inverse power curve fit to a six-year average of the 108-to-120 through 348-to-360 factors, excluding the 2016, 2017, and 2018 evaluations, and extrapolated to 80 development years.</t>
  </si>
  <si>
    <t>ULT/444Inc (c)</t>
  </si>
  <si>
    <t>ULT/444Pd (b)</t>
  </si>
  <si>
    <t xml:space="preserve">The ULT/444Pd tail factor was calculated based on an inverse power curve fit to a four-year average of the 108-to-120 through 348-to-360 factors and extrapolated </t>
  </si>
  <si>
    <t>These factors are adjusted for the impact of pharmaceutical cost reductions through 2018 and the 2021 changes to the Official Medical Fee Schedule and Medical-Legal Fee</t>
  </si>
  <si>
    <t xml:space="preserve"> Schedule in order to bring the historical payments to the current pharmaceutical and medical service cost level.</t>
  </si>
  <si>
    <t>The cumulative factors for 60 and 72 months are adjusted by -2.0% and -1.1%, respectively, for the impact of the SB 1160 reductions in future lien filings.</t>
  </si>
  <si>
    <t>ULT/444Pd (e)</t>
  </si>
  <si>
    <t xml:space="preserve">The ULT/444Pd tail factor was calculated based on an inverse power curve fit to a four-year average of the 108-to-120 through 348-to-360 adjusted factors and </t>
  </si>
  <si>
    <t>Selections are latest year for the 12-to-24 month through 96-to-108 month factors and three-year averages for the subsequent paid age-to-age factors.</t>
  </si>
  <si>
    <t>Adjusted for the impact of changes in claim settlement rates on later period development for 288 months and later. See Exhibits 2.5.9 through 2.5.12.</t>
  </si>
  <si>
    <t xml:space="preserve">The ULT/444Pd tail factor was calculated based on an inverse power curve fit to a four-year average of the 108-to-120 through 348-to-360 factors </t>
  </si>
  <si>
    <t>ULT/444Pd (d)</t>
  </si>
  <si>
    <t>These factors are adjusted for the impact of pharmaceutical cost reductions through 2018 and the 2021 changes to the Official Medical Fee Schedule and Medical-Legal Fee Schedule in order to bring the historical payments to the current pharmaceutical and medical service cost level.</t>
  </si>
  <si>
    <t>Based on calculations shown on Exhibits 2.6.3 to 2.6.8. Each of these selections are calculated as the latest year paid medical age-to-age factor multiplied by an adjustment for changes in claim settlement rates.</t>
  </si>
  <si>
    <t xml:space="preserve">Based on calculations shown on Exhibits 2.5.3 to 2.5.8. Each of these selections is calculated as the latest year paid indemnity age-to-age factor multiplied by an adjustment for </t>
  </si>
  <si>
    <t>ULT/444Pd (g)</t>
  </si>
  <si>
    <t>The developed medical loss ratios shown were derived based on an adjustment for pharmaceutical cost reductions and 2021 medical fee schedule changes. They are only for purposes of projecting future medical loss ratios and do not reflect true estimates of ultimate loss ratios for those accident years.</t>
  </si>
  <si>
    <t>Based on experience evaluated as of December 31, 2021. Reflects adjustments for the pharmaceutical cost reductions through 2018 and 2021 changes to the Official Medical Fee Schedule (OMFS) and Medical-Legal Fee Schedule (MLFS), restating the historical medical paid-to-date ratios at a 2018 pharmaceutical cost level and a 2021 OMFS and MLFS level.</t>
  </si>
  <si>
    <t>9/1/2023</t>
  </si>
  <si>
    <t>(Annual 0.4)</t>
  </si>
  <si>
    <t>(Annual 1.5)</t>
  </si>
  <si>
    <t>These factors represent the combined impact of the annual benefit changes on claim severity shown in Column (1), claim frequencies shown in Column (2) and wage inflation impact on benefits shown in Column (3), adjusted to the 9/1/2023 level.</t>
  </si>
  <si>
    <t>(Annual 2.8%)</t>
  </si>
  <si>
    <t>Based on the WCIRB's evaluation of the cost impact of changes in the medical fee schedules. Does not include the impact of the 2021 changes to the Official Medical Fee Schedule and Medical-Legal Fee Schedule, which are reflected in the medical loss development projections for accident years 2013 and later.</t>
  </si>
  <si>
    <t>The impact of the 2021 changes to the Official Medical Fee Schedule and Medical-Legal Fee Schedule is applied to accident years 2012 and prior, which are not reflected in the medical loss development projections.</t>
  </si>
  <si>
    <t>(Annual = 2.0)</t>
  </si>
  <si>
    <t>(Annual = 2.5)</t>
  </si>
  <si>
    <t>Historical wage changes through 2020 are based on Bureau of Labor Statistics data. Forecasts for 2021 and forward are based on the average of wage level projections made by the UCLA Anderson School of Business as of March 2022 and those made by the California Department of Finance as of November 2021.</t>
  </si>
  <si>
    <t>Wage level changes for 2020 to 2024 were adjusted for estimated shifts in industrial mix and shifts in the wage level mix within industries impacting average wages in order to more appropriately project changes in average wages for the typical worker.</t>
  </si>
  <si>
    <t>Based on Column (1) for 2019 and prior and Column (2) for 2020 and subsequent.</t>
  </si>
  <si>
    <t>January 1, 2022 (c)</t>
  </si>
  <si>
    <t>January 1, 2022 (d)</t>
  </si>
  <si>
    <t>September 1, 2021</t>
  </si>
  <si>
    <t xml:space="preserve">Reflects (1) advisory pure premium rate level changes to bring premium to the advisory September 1, 2021 pure premium rate level and </t>
  </si>
  <si>
    <t>(2) an additional adjustment factor, which is the ratio of the average advisory September 1, 2021 pure premium rate ($1.45) to the industry</t>
  </si>
  <si>
    <t>average filed pure premium rate as of January 1, 2022 ($1.77).</t>
  </si>
  <si>
    <t>rate level as of January 1, 2022.</t>
  </si>
  <si>
    <t>the course of two accident years.  The factor is applied only for calendar years 2007 to 2010 and 2020 to 2021, during which</t>
  </si>
  <si>
    <t>reported premiums were impacted by recessionary economic forces.</t>
  </si>
  <si>
    <t>(1)x(2c)x(3)x(6) ÷ [(4)x(5)] for calendar years 2007 to 2010 and 2020 to 2021.  (1)x(2c)x(3) ÷ [(4)x(5)] for all other calendar years.</t>
  </si>
  <si>
    <t>Selected Indemnity Severity Trend:</t>
  </si>
  <si>
    <t>Estimated ultimate severities for all accident years are derived by dividing ultimate medical losses on indemnity claims by ultimate indemnity claim counts. The estimated ultimate medical severities were derived from the projected ultimate loss ratios shown in Exhibit 3.2, column (6).</t>
  </si>
  <si>
    <t>These adjustment factors are based on Exhibit 4.4, excluding the impact of frequency, and including the impact of SB 1160 provisions and 2021 changes to the Official Medical Fee Schedule and Medical-Legal Fee Schedule, applicable to outstanding medical losses.</t>
  </si>
  <si>
    <t>Severities for accident years 2011 and subsequent do not reflect the cost of medical cost containment programs (MCCP). Severities for accident years 2010 and prior do reflect MCCP costs.</t>
  </si>
  <si>
    <t>The trending projection is based on frequency and severity growth separately applied to the 2019 and 2021 on-level ratios. The frequency growth estimates are based on the intra-class frequency changes for accident years 2020 and 2021 from Appendix B, Exhibit 3 and frequency model projections for accident years 2022 to 2024 from Exhibit 6.1. The annual indemnity severity growth estimates are from Exhibit 6.2.</t>
  </si>
  <si>
    <t>The trending projection is based on frequency and severity growth separately applied to the 2019 and 2021 on-level ratios. The frequency growth estimates are based on the intra-class frequency changes for accident years 2020 and 2021 from Appendix B, Exhibit 3 and frequency model projections for accident years 2022 to 2024 from Exhibit 6.1. The annual medical severity growth estimates are from Exhibit 6.4.</t>
  </si>
  <si>
    <t>Indicated Total Loss and Loss Adjustment Expense to Industry Average Filed Pure Premium Ratio (Excluding COVID-19 Claim Costs)
(1) x (2)</t>
  </si>
  <si>
    <t>Difference in Off-Balance Factor
(See Section C, Appendix B of the WCIRB's September 1, 2022 Regulatory Filing)</t>
  </si>
  <si>
    <t>Indicated Difference from Industry Average Filed Pure Premium Rate per 
$100 of Payroll as of January 1, 2022
[(3) x [(4) + 1.0] - 1.0]</t>
  </si>
  <si>
    <t>Industry Average Filed Pure Premium Rate per $100 of Payroll as of 
January 1, 2022</t>
  </si>
  <si>
    <t>Indicated Average Pure Premium Rate per $100 of Payroll for Policies with Effective Dates between September 1, 2022 and August 31, 2023
(Excluding COVID-19 Claim Costs)
(6) x [1.0 + (5)]</t>
  </si>
  <si>
    <t>Estimated Cost of COVID-19 Claims on Policies with Effective Dates between September 1, 2022 and August 31, 2023
(See Section B, Appendix D)</t>
  </si>
  <si>
    <t>Indicated Average Pure Premium Rate per $100 of Payroll for Policies with Effective Dates between September 1, 2022 and August 31, 2023, including COVID-19 Claim Costs
(7) x [1.0 + (8)]</t>
  </si>
  <si>
    <t>For Policies with Effective Dates between September 1, 2022 and August 31, 2023</t>
  </si>
  <si>
    <t xml:space="preserve">   (a) Estimated ultimate severities for all accident years were derived by dividing ultimate medical losses on indemnity claims by ultimate indemnity claim counts.</t>
  </si>
  <si>
    <t xml:space="preserve">   (b) Adjustments to accident years 2005 through 2010 based on WCIRB’s Annual Calls for Direct California Workers’ Compensation</t>
  </si>
  <si>
    <t xml:space="preserve">   (c) Ultimate severities are on-leveled based on adjustment factors shown on Exhibit 6.3.</t>
  </si>
  <si>
    <t>*Based on 12-month actual estimate from Section B, Appendix B, Exhibit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</si>
</sst>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3" formatCode="_(* #,##0.00_);_(* \(#,##0.00\);_(* &quot;-&quot;??_);_(@_)"/>
    <numFmt numFmtId="164" formatCode="0.000"/>
    <numFmt numFmtId="165" formatCode="#,##0.000"/>
    <numFmt numFmtId="166" formatCode="#,##0.00000"/>
    <numFmt numFmtId="167" formatCode="0.0"/>
    <numFmt numFmtId="168" formatCode="0.0%"/>
    <numFmt numFmtId="169" formatCode="0.0%\ \ \ \ \ \ \ \ "/>
    <numFmt numFmtId="170" formatCode="0.000\ \ \ \ \ \ \ \ "/>
    <numFmt numFmtId="171" formatCode="0.0000"/>
    <numFmt numFmtId="172" formatCode="General\ \ \ \ \ \ \ \ "/>
    <numFmt numFmtId="173" formatCode="#,##0.000000"/>
    <numFmt numFmtId="174" formatCode="_(* #,##0_);_(* \(#,##0\);_(* &quot;-&quot;??_);_(@_)"/>
    <numFmt numFmtId="175" formatCode="_(* #,##0.000_);_(* \(#,##0.000\);_(* &quot;-&quot;??_);_(@_)"/>
    <numFmt numFmtId="176" formatCode="_(* #,##0.00000_);_(* \(#,##0.00000\);_(* &quot;-&quot;??_);_(@_)"/>
  </numFmts>
  <fonts count="25">
    <font>
      <sz val="11"/>
      <color theme="1"/>
      <name val="Calibri"/>
      <family val="2"/>
      <scheme val="minor"/>
    </font>
    <font>
      <sz val="10"/>
      <color theme="1"/>
      <name val="Arial"/>
      <family val="2"/>
    </font>
    <font>
      <sz val="10"/>
      <name val="Arial"/>
      <family val="2"/>
    </font>
    <font>
      <b/>
      <sz val="10"/>
      <name val="Arial"/>
      <family val="2"/>
    </font>
    <font>
      <u/>
      <sz val="10"/>
      <name val="Arial"/>
      <family val="2"/>
    </font>
    <font>
      <sz val="10"/>
      <name val="Univers 55"/>
    </font>
    <font>
      <b/>
      <u/>
      <sz val="10"/>
      <name val="Arial"/>
      <family val="2"/>
    </font>
    <font>
      <i/>
      <sz val="10"/>
      <name val="Arial"/>
      <family val="2"/>
    </font>
    <font>
      <sz val="11"/>
      <color theme="1"/>
      <name val="Calibri"/>
      <family val="2"/>
      <scheme val="minor"/>
    </font>
    <font>
      <sz val="10"/>
      <color rgb="FFFF0000"/>
      <name val="Arial"/>
      <family val="2"/>
    </font>
    <font>
      <sz val="10"/>
      <color rgb="FF00B0F0"/>
      <name val="Arial"/>
      <family val="2"/>
    </font>
    <font>
      <sz val="10"/>
      <color rgb="FF0070C0"/>
      <name val="Arial"/>
      <family val="2"/>
    </font>
    <font>
      <sz val="10"/>
      <color theme="1"/>
      <name val="Arial"/>
      <family val="2"/>
    </font>
    <font>
      <u/>
      <sz val="10"/>
      <color theme="1"/>
      <name val="Arial"/>
      <family val="2"/>
    </font>
    <font>
      <sz val="10"/>
      <name val="Univers 55"/>
      <family val="2"/>
    </font>
    <font>
      <sz val="10"/>
      <color indexed="9"/>
      <name val="Arial"/>
      <family val="2"/>
    </font>
    <font>
      <sz val="11"/>
      <color rgb="FF0070C0"/>
      <name val="Calibri"/>
      <family val="2"/>
      <scheme val="minor"/>
    </font>
    <font>
      <sz val="11"/>
      <name val="Calibri"/>
      <family val="2"/>
      <scheme val="minor"/>
    </font>
    <font>
      <sz val="12"/>
      <name val="Arial"/>
      <family val="2"/>
    </font>
    <font>
      <sz val="9"/>
      <name val="Arial"/>
      <family val="2"/>
    </font>
    <font>
      <b/>
      <sz val="10"/>
      <color rgb="FFFF0000"/>
      <name val="Arial"/>
      <family val="2"/>
    </font>
    <font>
      <sz val="10"/>
      <color rgb="FF00B050"/>
      <name val="Arial"/>
      <family val="2"/>
    </font>
    <font>
      <u/>
      <sz val="10"/>
      <color rgb="FF0070C0"/>
      <name val="Arial"/>
      <family val="2"/>
    </font>
    <font>
      <i/>
      <sz val="10"/>
      <color rgb="FF0070C0"/>
      <name val="Arial"/>
      <family val="2"/>
    </font>
    <font>
      <b/>
      <sz val="10"/>
      <color rgb="FF0070C0"/>
      <name val="Arial"/>
      <family val="2"/>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diagonal/>
    </border>
    <border>
      <left/>
      <right/>
      <top style="thin">
        <color indexed="8"/>
      </top>
      <bottom/>
      <diagonal/>
    </border>
    <border>
      <left/>
      <right/>
      <top style="thin">
        <color indexed="8"/>
      </top>
      <bottom style="thin">
        <color indexed="64"/>
      </bottom>
      <diagonal/>
    </border>
    <border>
      <left/>
      <right/>
      <top style="dotted">
        <color indexed="8"/>
      </top>
      <bottom/>
      <diagonal/>
    </border>
    <border>
      <left/>
      <right/>
      <top/>
      <bottom style="dotted">
        <color indexed="8"/>
      </bottom>
      <diagonal/>
    </border>
    <border>
      <left/>
      <right/>
      <top style="dotted">
        <color indexed="8"/>
      </top>
      <bottom style="dotted">
        <color indexed="8"/>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2" fillId="0" borderId="0"/>
    <xf numFmtId="0" fontId="5"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43" fontId="2" fillId="0" borderId="0" applyFont="0" applyFill="0" applyBorder="0" applyAlignment="0" applyProtection="0"/>
    <xf numFmtId="0" fontId="14" fillId="0" borderId="0"/>
  </cellStyleXfs>
  <cellXfs count="550">
    <xf numFmtId="0" fontId="0" fillId="0" borderId="0" xfId="0"/>
    <xf numFmtId="0" fontId="2" fillId="0" borderId="0" xfId="1" applyFont="1" applyFill="1" applyAlignment="1">
      <alignment horizontal="center"/>
    </xf>
    <xf numFmtId="164" fontId="9" fillId="0" borderId="0" xfId="1" applyNumberFormat="1" applyFont="1" applyFill="1" applyAlignment="1">
      <alignment horizontal="center"/>
    </xf>
    <xf numFmtId="0" fontId="2" fillId="0" borderId="0" xfId="1" applyFont="1" applyFill="1" applyAlignment="1">
      <alignment horizontal="right"/>
    </xf>
    <xf numFmtId="0" fontId="4" fillId="0" borderId="0" xfId="1" applyFont="1" applyFill="1" applyAlignment="1">
      <alignment horizontal="right"/>
    </xf>
    <xf numFmtId="3" fontId="2" fillId="0" borderId="0" xfId="1" applyNumberFormat="1" applyFont="1"/>
    <xf numFmtId="1" fontId="2" fillId="0" borderId="0" xfId="1" applyNumberFormat="1" applyFont="1"/>
    <xf numFmtId="3" fontId="2" fillId="0" borderId="0" xfId="1" applyNumberFormat="1" applyFont="1" applyAlignment="1">
      <alignment horizontal="center"/>
    </xf>
    <xf numFmtId="164" fontId="2" fillId="0" borderId="0" xfId="1" applyNumberFormat="1" applyFont="1" applyAlignment="1">
      <alignment horizontal="center"/>
    </xf>
    <xf numFmtId="0" fontId="2" fillId="0" borderId="0" xfId="1" applyFont="1" applyAlignment="1">
      <alignment horizontal="right" vertical="top"/>
    </xf>
    <xf numFmtId="0" fontId="2" fillId="0" borderId="0" xfId="0" applyFont="1"/>
    <xf numFmtId="0" fontId="4" fillId="0" borderId="0" xfId="1" applyFont="1" applyAlignment="1">
      <alignment horizontal="center"/>
    </xf>
    <xf numFmtId="0" fontId="2" fillId="0" borderId="0" xfId="1" applyFont="1" applyAlignment="1">
      <alignment horizontal="center"/>
    </xf>
    <xf numFmtId="165" fontId="2" fillId="0" borderId="0" xfId="1" applyNumberFormat="1" applyFont="1" applyAlignment="1">
      <alignment horizontal="center"/>
    </xf>
    <xf numFmtId="0" fontId="2" fillId="0" borderId="0" xfId="1" applyFont="1" applyAlignment="1">
      <alignment horizontal="left"/>
    </xf>
    <xf numFmtId="0" fontId="2" fillId="0" borderId="0" xfId="1" applyFont="1" applyAlignment="1">
      <alignment horizontal="right"/>
    </xf>
    <xf numFmtId="165" fontId="2" fillId="0" borderId="0" xfId="1" applyNumberFormat="1" applyFont="1" applyFill="1" applyAlignment="1">
      <alignment horizontal="center"/>
    </xf>
    <xf numFmtId="0" fontId="2" fillId="0" borderId="0" xfId="1" applyFont="1" applyFill="1"/>
    <xf numFmtId="0" fontId="4" fillId="0" borderId="0" xfId="1" applyFont="1" applyFill="1" applyAlignment="1">
      <alignment horizontal="left"/>
    </xf>
    <xf numFmtId="0" fontId="4" fillId="0" borderId="0" xfId="1" applyFont="1" applyFill="1" applyAlignment="1">
      <alignment horizontal="center"/>
    </xf>
    <xf numFmtId="0" fontId="2" fillId="0" borderId="0" xfId="1" quotePrefix="1" applyFont="1" applyFill="1" applyAlignment="1">
      <alignment horizontal="right" vertical="top"/>
    </xf>
    <xf numFmtId="165" fontId="11" fillId="0" borderId="0" xfId="1" applyNumberFormat="1" applyFont="1" applyFill="1" applyAlignment="1">
      <alignment horizontal="center"/>
    </xf>
    <xf numFmtId="0" fontId="2" fillId="0" borderId="0" xfId="1" applyFont="1" applyFill="1" applyAlignment="1">
      <alignment horizontal="left"/>
    </xf>
    <xf numFmtId="165" fontId="2" fillId="0" borderId="0" xfId="1" applyNumberFormat="1" applyFont="1" applyFill="1"/>
    <xf numFmtId="0" fontId="2" fillId="0" borderId="0" xfId="1" applyFont="1" applyFill="1" applyAlignment="1">
      <alignment horizontal="right" vertical="top"/>
    </xf>
    <xf numFmtId="0" fontId="2" fillId="0" borderId="0" xfId="0" applyFont="1" applyAlignment="1">
      <alignment horizontal="centerContinuous"/>
    </xf>
    <xf numFmtId="0" fontId="4" fillId="0" borderId="0" xfId="0" applyFont="1" applyAlignment="1">
      <alignment horizontal="center"/>
    </xf>
    <xf numFmtId="0" fontId="2" fillId="0" borderId="0" xfId="0" quotePrefix="1" applyFont="1" applyAlignment="1">
      <alignment horizontal="center"/>
    </xf>
    <xf numFmtId="1" fontId="2" fillId="0" borderId="0" xfId="0" applyNumberFormat="1" applyFont="1" applyFill="1" applyAlignment="1">
      <alignment horizontal="center"/>
    </xf>
    <xf numFmtId="164" fontId="2" fillId="0" borderId="0" xfId="0" applyNumberFormat="1" applyFont="1" applyFill="1" applyAlignment="1">
      <alignment horizontal="center"/>
    </xf>
    <xf numFmtId="164" fontId="2" fillId="0" borderId="0" xfId="0" applyNumberFormat="1" applyFont="1" applyAlignment="1">
      <alignment horizontal="center"/>
    </xf>
    <xf numFmtId="0" fontId="2" fillId="0" borderId="0" xfId="0" applyFont="1" applyAlignment="1">
      <alignment horizontal="center" vertical="top"/>
    </xf>
    <xf numFmtId="164" fontId="2" fillId="0" borderId="0" xfId="0" applyNumberFormat="1" applyFont="1" applyFill="1" applyBorder="1" applyAlignment="1">
      <alignment horizontal="center"/>
    </xf>
    <xf numFmtId="164" fontId="2" fillId="0" borderId="0" xfId="0" applyNumberFormat="1" applyFont="1" applyBorder="1" applyAlignment="1">
      <alignment horizontal="center"/>
    </xf>
    <xf numFmtId="1" fontId="2" fillId="0" borderId="0" xfId="0" applyNumberFormat="1" applyFont="1" applyAlignment="1">
      <alignment horizontal="center"/>
    </xf>
    <xf numFmtId="164" fontId="2" fillId="0" borderId="0" xfId="0" applyNumberFormat="1" applyFont="1" applyAlignment="1">
      <alignment horizontal="right"/>
    </xf>
    <xf numFmtId="0" fontId="2" fillId="0" borderId="0" xfId="0" applyFont="1" applyAlignment="1">
      <alignment vertical="top"/>
    </xf>
    <xf numFmtId="164" fontId="2" fillId="0" borderId="1" xfId="0" applyNumberFormat="1" applyFont="1" applyFill="1" applyBorder="1" applyAlignment="1">
      <alignment horizontal="center"/>
    </xf>
    <xf numFmtId="0" fontId="2" fillId="0" borderId="0" xfId="0" applyFont="1" applyFill="1" applyAlignment="1">
      <alignment horizontal="centerContinuous"/>
    </xf>
    <xf numFmtId="0" fontId="2" fillId="0" borderId="0" xfId="0" applyFont="1" applyFill="1" applyAlignment="1">
      <alignment horizontal="center"/>
    </xf>
    <xf numFmtId="0" fontId="2" fillId="0" borderId="0" xfId="0" quotePrefix="1" applyFont="1" applyFill="1" applyAlignment="1">
      <alignment horizontal="center"/>
    </xf>
    <xf numFmtId="0" fontId="4" fillId="0" borderId="0" xfId="0" applyFont="1" applyFill="1" applyAlignment="1">
      <alignment horizontal="center"/>
    </xf>
    <xf numFmtId="0" fontId="2" fillId="0" borderId="0" xfId="0" applyFont="1" applyFill="1" applyAlignment="1">
      <alignment horizontal="center" vertical="top"/>
    </xf>
    <xf numFmtId="10" fontId="2" fillId="0" borderId="0" xfId="5" applyNumberFormat="1" applyFont="1" applyFill="1" applyAlignment="1">
      <alignment horizontal="right"/>
    </xf>
    <xf numFmtId="0" fontId="2" fillId="0" borderId="0" xfId="0" applyFont="1" applyFill="1"/>
    <xf numFmtId="164" fontId="2" fillId="0" borderId="0" xfId="0" quotePrefix="1" applyNumberFormat="1" applyFont="1" applyAlignment="1">
      <alignment horizontal="center"/>
    </xf>
    <xf numFmtId="164" fontId="4" fillId="0" borderId="0" xfId="0" applyNumberFormat="1" applyFont="1" applyAlignment="1">
      <alignment horizontal="center"/>
    </xf>
    <xf numFmtId="167" fontId="2" fillId="0" borderId="0" xfId="0" applyNumberFormat="1" applyFont="1" applyAlignment="1">
      <alignment horizontal="right"/>
    </xf>
    <xf numFmtId="167" fontId="2" fillId="0" borderId="0" xfId="0" applyNumberFormat="1" applyFont="1" applyAlignment="1">
      <alignment horizontal="center"/>
    </xf>
    <xf numFmtId="0" fontId="2" fillId="0" borderId="0" xfId="0" applyFont="1" applyAlignment="1">
      <alignment horizontal="left"/>
    </xf>
    <xf numFmtId="168" fontId="2" fillId="0" borderId="0" xfId="0" applyNumberFormat="1" applyFont="1"/>
    <xf numFmtId="0" fontId="2" fillId="0" borderId="0" xfId="0" applyFont="1" applyAlignment="1">
      <alignment horizontal="left" vertical="top"/>
    </xf>
    <xf numFmtId="0" fontId="11" fillId="0" borderId="0" xfId="0" applyFont="1" applyAlignment="1">
      <alignment horizontal="center"/>
    </xf>
    <xf numFmtId="0" fontId="2" fillId="0" borderId="0" xfId="0" applyFont="1" applyFill="1" applyAlignment="1"/>
    <xf numFmtId="164" fontId="2" fillId="0" borderId="0" xfId="0" applyNumberFormat="1" applyFont="1"/>
    <xf numFmtId="0" fontId="2" fillId="0" borderId="0" xfId="0" quotePrefix="1" applyFont="1" applyAlignment="1">
      <alignment horizontal="right"/>
    </xf>
    <xf numFmtId="0" fontId="2" fillId="0" borderId="0" xfId="0" applyFont="1" applyAlignment="1">
      <alignment horizontal="right"/>
    </xf>
    <xf numFmtId="164" fontId="2" fillId="0" borderId="0" xfId="0" applyNumberFormat="1" applyFont="1" applyFill="1"/>
    <xf numFmtId="14" fontId="2" fillId="0" borderId="0" xfId="0" applyNumberFormat="1" applyFont="1" applyFill="1" applyAlignment="1">
      <alignment horizontal="center"/>
    </xf>
    <xf numFmtId="0" fontId="2" fillId="0" borderId="0" xfId="0" applyFont="1" applyFill="1" applyAlignment="1">
      <alignment horizontal="right" vertical="top"/>
    </xf>
    <xf numFmtId="0" fontId="2" fillId="0" borderId="0" xfId="0" quotePrefix="1" applyFont="1" applyFill="1" applyAlignment="1">
      <alignment horizontal="right" vertical="top"/>
    </xf>
    <xf numFmtId="0" fontId="2" fillId="0" borderId="0" xfId="0" applyFont="1" applyBorder="1" applyAlignment="1">
      <alignment horizontal="center"/>
    </xf>
    <xf numFmtId="0" fontId="4" fillId="0" borderId="0" xfId="0" applyFont="1" applyBorder="1" applyAlignment="1">
      <alignment horizontal="center"/>
    </xf>
    <xf numFmtId="0" fontId="2" fillId="0" borderId="0" xfId="0" applyFont="1" applyAlignment="1">
      <alignment horizontal="center" vertical="center"/>
    </xf>
    <xf numFmtId="2" fontId="10" fillId="0" borderId="0" xfId="0" applyNumberFormat="1" applyFont="1" applyAlignment="1">
      <alignment horizontal="center" vertical="center"/>
    </xf>
    <xf numFmtId="0" fontId="4" fillId="0" borderId="0" xfId="0" applyFont="1"/>
    <xf numFmtId="167" fontId="4" fillId="0" borderId="0" xfId="0" applyNumberFormat="1" applyFont="1" applyAlignment="1">
      <alignment horizontal="center"/>
    </xf>
    <xf numFmtId="167" fontId="2" fillId="0" borderId="0" xfId="0" applyNumberFormat="1" applyFont="1"/>
    <xf numFmtId="2" fontId="2" fillId="0" borderId="0" xfId="0" applyNumberFormat="1" applyFont="1"/>
    <xf numFmtId="0" fontId="10" fillId="0" borderId="0" xfId="0" applyFont="1" applyAlignment="1">
      <alignment horizontal="center"/>
    </xf>
    <xf numFmtId="15" fontId="4" fillId="0" borderId="0" xfId="0" applyNumberFormat="1" applyFont="1" applyAlignment="1">
      <alignment horizontal="center"/>
    </xf>
    <xf numFmtId="164" fontId="2" fillId="0" borderId="0" xfId="0" applyNumberFormat="1" applyFont="1" applyAlignment="1">
      <alignment horizontal="center" vertical="center"/>
    </xf>
    <xf numFmtId="2" fontId="2" fillId="0" borderId="0" xfId="0" applyNumberFormat="1" applyFont="1" applyFill="1" applyAlignment="1"/>
    <xf numFmtId="3" fontId="2" fillId="0" borderId="0" xfId="0" applyNumberFormat="1" applyFont="1"/>
    <xf numFmtId="3" fontId="2" fillId="0" borderId="0" xfId="0" applyNumberFormat="1" applyFont="1" applyAlignment="1">
      <alignment horizontal="center"/>
    </xf>
    <xf numFmtId="168" fontId="2" fillId="0" borderId="0" xfId="0" quotePrefix="1" applyNumberFormat="1" applyFont="1" applyAlignment="1">
      <alignment horizontal="right"/>
    </xf>
    <xf numFmtId="168" fontId="2" fillId="0" borderId="0" xfId="0" applyNumberFormat="1" applyFont="1" applyFill="1"/>
    <xf numFmtId="0" fontId="4" fillId="0" borderId="0" xfId="0" applyFont="1" applyAlignment="1">
      <alignment horizontal="right"/>
    </xf>
    <xf numFmtId="0" fontId="2" fillId="0" borderId="1" xfId="0" applyFont="1" applyBorder="1"/>
    <xf numFmtId="3" fontId="2" fillId="0" borderId="1" xfId="0" applyNumberFormat="1" applyFont="1" applyBorder="1"/>
    <xf numFmtId="168" fontId="2" fillId="0" borderId="1" xfId="0" applyNumberFormat="1" applyFont="1" applyBorder="1"/>
    <xf numFmtId="0" fontId="2" fillId="0" borderId="0" xfId="3" applyFont="1"/>
    <xf numFmtId="0" fontId="2" fillId="0" borderId="0" xfId="3" quotePrefix="1" applyFont="1" applyAlignment="1">
      <alignment horizontal="center"/>
    </xf>
    <xf numFmtId="0" fontId="2" fillId="0" borderId="0" xfId="3" quotePrefix="1" applyFont="1" applyBorder="1" applyAlignment="1">
      <alignment horizontal="center"/>
    </xf>
    <xf numFmtId="0" fontId="2" fillId="0" borderId="0" xfId="3" applyFont="1" applyAlignment="1">
      <alignment horizontal="right"/>
    </xf>
    <xf numFmtId="0" fontId="4" fillId="0" borderId="0" xfId="3" applyFont="1" applyAlignment="1">
      <alignment horizontal="center"/>
    </xf>
    <xf numFmtId="3" fontId="2" fillId="0" borderId="0" xfId="3" applyNumberFormat="1" applyFont="1"/>
    <xf numFmtId="168" fontId="2" fillId="0" borderId="0" xfId="3" quotePrefix="1" applyNumberFormat="1" applyFont="1" applyAlignment="1">
      <alignment horizontal="right"/>
    </xf>
    <xf numFmtId="168" fontId="2" fillId="0" borderId="0" xfId="3" applyNumberFormat="1" applyFont="1"/>
    <xf numFmtId="3" fontId="2" fillId="0" borderId="0" xfId="3" applyNumberFormat="1" applyFont="1" applyBorder="1"/>
    <xf numFmtId="168" fontId="2" fillId="0" borderId="0" xfId="3" applyNumberFormat="1" applyFont="1" applyBorder="1"/>
    <xf numFmtId="0" fontId="2" fillId="0" borderId="0" xfId="3" applyFont="1" applyFill="1"/>
    <xf numFmtId="168" fontId="2" fillId="0" borderId="0" xfId="3" applyNumberFormat="1" applyFont="1" applyFill="1"/>
    <xf numFmtId="0" fontId="2" fillId="0" borderId="0" xfId="0" applyFont="1" applyAlignment="1" applyProtection="1">
      <alignment horizontal="right"/>
      <protection locked="0" hidden="1"/>
    </xf>
    <xf numFmtId="0" fontId="2" fillId="0" borderId="0" xfId="0" applyFont="1" applyAlignment="1" applyProtection="1">
      <protection locked="0" hidden="1"/>
    </xf>
    <xf numFmtId="0" fontId="4" fillId="0" borderId="0" xfId="0" applyFont="1" applyAlignment="1" applyProtection="1">
      <alignment horizontal="center"/>
      <protection locked="0" hidden="1"/>
    </xf>
    <xf numFmtId="164" fontId="2" fillId="0" borderId="0" xfId="0" quotePrefix="1" applyNumberFormat="1" applyFont="1" applyAlignment="1" applyProtection="1">
      <alignment horizontal="center"/>
      <protection locked="0" hidden="1"/>
    </xf>
    <xf numFmtId="0" fontId="2" fillId="0" borderId="0" xfId="0" applyFont="1" applyAlignment="1" applyProtection="1">
      <alignment horizontal="center"/>
      <protection locked="0" hidden="1"/>
    </xf>
    <xf numFmtId="0" fontId="2" fillId="0" borderId="0" xfId="0" quotePrefix="1" applyFont="1" applyAlignment="1" applyProtection="1">
      <alignment horizontal="right" vertical="top"/>
      <protection locked="0" hidden="1"/>
    </xf>
    <xf numFmtId="164" fontId="2" fillId="0" borderId="0" xfId="0" applyNumberFormat="1" applyFont="1" applyAlignment="1" applyProtection="1">
      <alignment horizontal="center" vertical="top"/>
      <protection locked="0" hidden="1"/>
    </xf>
    <xf numFmtId="0" fontId="2" fillId="0" borderId="0" xfId="0" applyFont="1" applyProtection="1">
      <protection locked="0" hidden="1"/>
    </xf>
    <xf numFmtId="0" fontId="2" fillId="0" borderId="0" xfId="0" quotePrefix="1" applyFont="1" applyAlignment="1" applyProtection="1">
      <alignment horizontal="right"/>
      <protection locked="0" hidden="1"/>
    </xf>
    <xf numFmtId="164" fontId="2" fillId="0" borderId="0" xfId="0" applyNumberFormat="1" applyFont="1" applyAlignment="1" applyProtection="1">
      <alignment horizontal="center"/>
      <protection locked="0" hidden="1"/>
    </xf>
    <xf numFmtId="164" fontId="2" fillId="0" borderId="0" xfId="0" applyNumberFormat="1" applyFont="1" applyAlignment="1" applyProtection="1">
      <alignment horizontal="center" vertical="top" wrapText="1"/>
      <protection locked="0" hidden="1"/>
    </xf>
    <xf numFmtId="8" fontId="2" fillId="0" borderId="0" xfId="0" applyNumberFormat="1" applyFont="1" applyAlignment="1" applyProtection="1">
      <alignment horizontal="center" vertical="top"/>
      <protection locked="0" hidden="1"/>
    </xf>
    <xf numFmtId="164" fontId="2" fillId="0" borderId="0" xfId="1" applyNumberFormat="1" applyFont="1" applyFill="1" applyAlignment="1">
      <alignment horizontal="center"/>
    </xf>
    <xf numFmtId="164" fontId="4" fillId="0" borderId="0" xfId="1" applyNumberFormat="1" applyFont="1" applyFill="1" applyAlignment="1">
      <alignment horizontal="center"/>
    </xf>
    <xf numFmtId="164" fontId="2" fillId="0" borderId="1" xfId="1" applyNumberFormat="1" applyFont="1" applyBorder="1" applyAlignment="1">
      <alignment horizontal="center"/>
    </xf>
    <xf numFmtId="0" fontId="12" fillId="0" borderId="0" xfId="0" applyFont="1"/>
    <xf numFmtId="0" fontId="13" fillId="0" borderId="0" xfId="0" applyFont="1" applyBorder="1" applyAlignment="1">
      <alignment horizontal="center"/>
    </xf>
    <xf numFmtId="0" fontId="12" fillId="0" borderId="0" xfId="0" applyFont="1" applyFill="1"/>
    <xf numFmtId="164" fontId="2" fillId="0" borderId="0" xfId="0" applyNumberFormat="1" applyFont="1" applyFill="1" applyAlignment="1" applyProtection="1">
      <alignment horizontal="center"/>
      <protection locked="0" hidden="1"/>
    </xf>
    <xf numFmtId="164" fontId="12" fillId="0" borderId="0" xfId="0" applyNumberFormat="1" applyFont="1"/>
    <xf numFmtId="0" fontId="2" fillId="0" borderId="0" xfId="0" applyFont="1" applyFill="1" applyBorder="1" applyAlignment="1">
      <alignment horizontal="center"/>
    </xf>
    <xf numFmtId="0" fontId="13" fillId="0" borderId="10" xfId="0" applyFont="1" applyBorder="1" applyAlignment="1">
      <alignment horizontal="center"/>
    </xf>
    <xf numFmtId="168" fontId="12" fillId="0" borderId="12" xfId="4" applyNumberFormat="1" applyFont="1" applyBorder="1" applyAlignment="1">
      <alignment horizontal="center"/>
    </xf>
    <xf numFmtId="168" fontId="12" fillId="0" borderId="14" xfId="4" applyNumberFormat="1" applyFont="1" applyBorder="1" applyAlignment="1">
      <alignment horizontal="center"/>
    </xf>
    <xf numFmtId="1" fontId="2" fillId="0" borderId="0" xfId="1" applyNumberFormat="1" applyFont="1" applyFill="1" applyAlignment="1">
      <alignment horizontal="center"/>
    </xf>
    <xf numFmtId="0" fontId="3" fillId="0" borderId="0" xfId="1" applyFont="1" applyAlignment="1">
      <alignment horizontal="center" wrapText="1"/>
    </xf>
    <xf numFmtId="0" fontId="2" fillId="0" borderId="0" xfId="1" applyFont="1" applyAlignment="1"/>
    <xf numFmtId="0" fontId="2" fillId="0" borderId="0" xfId="1" applyFont="1"/>
    <xf numFmtId="0" fontId="3" fillId="0" borderId="0" xfId="0" applyFont="1" applyAlignment="1">
      <alignment horizontal="center"/>
    </xf>
    <xf numFmtId="0" fontId="2" fillId="0" borderId="0" xfId="0" applyFont="1" applyAlignment="1">
      <alignment horizontal="center"/>
    </xf>
    <xf numFmtId="0" fontId="2" fillId="0" borderId="0" xfId="3" applyFont="1" applyAlignment="1">
      <alignment horizontal="center"/>
    </xf>
    <xf numFmtId="2" fontId="3" fillId="0" borderId="0" xfId="0" applyNumberFormat="1" applyFont="1" applyAlignment="1">
      <alignment horizontal="center"/>
    </xf>
    <xf numFmtId="0" fontId="2" fillId="0" borderId="11" xfId="0" applyFont="1" applyBorder="1" applyAlignment="1">
      <alignment horizontal="center"/>
    </xf>
    <xf numFmtId="0" fontId="2" fillId="0" borderId="13" xfId="0" applyFont="1" applyBorder="1" applyAlignment="1">
      <alignment horizontal="center"/>
    </xf>
    <xf numFmtId="164" fontId="12" fillId="0" borderId="0" xfId="0" applyNumberFormat="1" applyFont="1" applyFill="1"/>
    <xf numFmtId="164" fontId="13" fillId="0" borderId="9" xfId="0" applyNumberFormat="1" applyFont="1" applyBorder="1" applyAlignment="1">
      <alignment horizontal="center"/>
    </xf>
    <xf numFmtId="0" fontId="13" fillId="0" borderId="2" xfId="0" applyFont="1" applyBorder="1" applyAlignment="1">
      <alignment horizontal="center"/>
    </xf>
    <xf numFmtId="168" fontId="12" fillId="0" borderId="0" xfId="0" applyNumberFormat="1" applyFont="1" applyBorder="1" applyAlignment="1">
      <alignment horizontal="center"/>
    </xf>
    <xf numFmtId="0" fontId="2" fillId="0" borderId="11" xfId="0" applyFont="1" applyFill="1" applyBorder="1" applyAlignment="1">
      <alignment horizontal="center"/>
    </xf>
    <xf numFmtId="0" fontId="12" fillId="0" borderId="0" xfId="0" applyFont="1" applyBorder="1" applyAlignment="1"/>
    <xf numFmtId="0" fontId="2" fillId="0" borderId="2" xfId="0" applyFont="1" applyBorder="1"/>
    <xf numFmtId="0" fontId="3" fillId="0" borderId="0" xfId="1" applyFont="1" applyAlignment="1">
      <alignment horizontal="center" wrapText="1"/>
    </xf>
    <xf numFmtId="0" fontId="2" fillId="0" borderId="0" xfId="1" applyFont="1"/>
    <xf numFmtId="166" fontId="2" fillId="0" borderId="0" xfId="1" applyNumberFormat="1" applyFont="1" applyFill="1" applyAlignment="1">
      <alignment horizontal="center"/>
    </xf>
    <xf numFmtId="173" fontId="2" fillId="0" borderId="0" xfId="1" applyNumberFormat="1" applyFont="1" applyFill="1" applyAlignment="1">
      <alignment horizontal="center"/>
    </xf>
    <xf numFmtId="0" fontId="2" fillId="0" borderId="0" xfId="1" applyFont="1"/>
    <xf numFmtId="174" fontId="2" fillId="0" borderId="0" xfId="6" applyNumberFormat="1" applyFont="1" applyFill="1" applyAlignment="1">
      <alignment horizontal="distributed"/>
    </xf>
    <xf numFmtId="3" fontId="2" fillId="0" borderId="0" xfId="0" applyNumberFormat="1" applyFont="1" applyAlignment="1">
      <alignment horizontal="right"/>
    </xf>
    <xf numFmtId="168" fontId="2" fillId="0" borderId="0" xfId="5" applyNumberFormat="1" applyFont="1"/>
    <xf numFmtId="3" fontId="2" fillId="0" borderId="0" xfId="5" applyNumberFormat="1" applyFont="1"/>
    <xf numFmtId="0" fontId="2" fillId="0" borderId="0" xfId="0" applyFont="1" applyAlignment="1">
      <alignment horizontal="right" vertical="top"/>
    </xf>
    <xf numFmtId="165" fontId="2" fillId="0" borderId="0" xfId="0" applyNumberFormat="1" applyFont="1"/>
    <xf numFmtId="0" fontId="15" fillId="0" borderId="0" xfId="0" applyFont="1"/>
    <xf numFmtId="10" fontId="2" fillId="0" borderId="0" xfId="5" applyNumberFormat="1" applyFont="1"/>
    <xf numFmtId="0" fontId="2" fillId="0" borderId="0" xfId="0" quotePrefix="1" applyFont="1" applyAlignment="1">
      <alignment horizontal="right" vertical="top"/>
    </xf>
    <xf numFmtId="0" fontId="0" fillId="0" borderId="0" xfId="0" applyAlignment="1"/>
    <xf numFmtId="0" fontId="2" fillId="0" borderId="0" xfId="0" applyFont="1" applyAlignment="1"/>
    <xf numFmtId="0" fontId="2" fillId="0" borderId="0" xfId="1" applyFont="1" applyAlignment="1"/>
    <xf numFmtId="0" fontId="12" fillId="0" borderId="0" xfId="0" applyFont="1" applyAlignment="1"/>
    <xf numFmtId="0" fontId="2" fillId="0" borderId="0" xfId="1" applyFont="1" applyFill="1" applyAlignment="1">
      <alignment horizontal="left" vertical="top"/>
    </xf>
    <xf numFmtId="0" fontId="16" fillId="0" borderId="0" xfId="0" applyFont="1"/>
    <xf numFmtId="0" fontId="2" fillId="0" borderId="0" xfId="0" applyFont="1" applyAlignment="1">
      <alignment horizontal="center"/>
    </xf>
    <xf numFmtId="164" fontId="2" fillId="0" borderId="0" xfId="0" applyNumberFormat="1" applyFont="1" applyAlignment="1">
      <alignment horizontal="center" vertical="top" wrapText="1"/>
    </xf>
    <xf numFmtId="3" fontId="2" fillId="0" borderId="0" xfId="5" applyNumberFormat="1" applyFont="1" applyFill="1"/>
    <xf numFmtId="0" fontId="3" fillId="0" borderId="0" xfId="1" applyFont="1" applyAlignment="1">
      <alignment horizontal="center" wrapText="1"/>
    </xf>
    <xf numFmtId="0" fontId="2" fillId="0" borderId="0" xfId="0" applyFont="1"/>
    <xf numFmtId="0" fontId="2" fillId="0" borderId="0" xfId="1" applyFont="1"/>
    <xf numFmtId="0" fontId="3" fillId="0" borderId="0" xfId="1" applyFont="1" applyAlignment="1">
      <alignment horizontal="center" wrapText="1"/>
    </xf>
    <xf numFmtId="0" fontId="2" fillId="0" borderId="0" xfId="1" applyFont="1" applyAlignment="1">
      <alignment vertical="top"/>
    </xf>
    <xf numFmtId="0" fontId="2" fillId="0" borderId="0" xfId="0" applyFont="1" applyAlignment="1">
      <alignment horizontal="center"/>
    </xf>
    <xf numFmtId="14" fontId="2" fillId="0" borderId="0" xfId="0" applyNumberFormat="1" applyFont="1" applyAlignment="1">
      <alignment horizontal="center"/>
    </xf>
    <xf numFmtId="0" fontId="12" fillId="0" borderId="0" xfId="0" applyFont="1" applyAlignment="1">
      <alignment horizontal="right"/>
    </xf>
    <xf numFmtId="14" fontId="2" fillId="0" borderId="0" xfId="0" quotePrefix="1" applyNumberFormat="1" applyFont="1" applyAlignment="1">
      <alignment horizontal="center"/>
    </xf>
    <xf numFmtId="0" fontId="12" fillId="0" borderId="0" xfId="0" applyFont="1" applyAlignment="1"/>
    <xf numFmtId="0" fontId="2" fillId="0" borderId="0" xfId="1" applyFont="1" applyFill="1" applyAlignment="1">
      <alignment vertical="top" wrapText="1"/>
    </xf>
    <xf numFmtId="0" fontId="2" fillId="0" borderId="0" xfId="1" applyFont="1" applyFill="1" applyAlignment="1">
      <alignment vertical="justify"/>
    </xf>
    <xf numFmtId="0" fontId="2" fillId="0" borderId="0" xfId="0" applyFont="1"/>
    <xf numFmtId="164" fontId="2" fillId="0" borderId="0" xfId="1" applyNumberFormat="1" applyFont="1" applyBorder="1" applyAlignment="1">
      <alignment horizontal="center"/>
    </xf>
    <xf numFmtId="1" fontId="2" fillId="0" borderId="1" xfId="1" applyNumberFormat="1" applyFont="1" applyFill="1" applyBorder="1" applyAlignment="1">
      <alignment horizontal="center"/>
    </xf>
    <xf numFmtId="0" fontId="12" fillId="0" borderId="0" xfId="0" applyFont="1" applyFill="1" applyAlignment="1">
      <alignment horizontal="right"/>
    </xf>
    <xf numFmtId="0" fontId="4" fillId="0" borderId="0" xfId="0" applyFont="1"/>
    <xf numFmtId="0" fontId="2" fillId="0" borderId="0" xfId="0" applyFont="1"/>
    <xf numFmtId="0" fontId="2" fillId="0" borderId="0" xfId="0" applyFont="1" applyAlignment="1">
      <alignment wrapText="1"/>
    </xf>
    <xf numFmtId="0" fontId="2" fillId="0" borderId="1" xfId="0" applyFont="1" applyBorder="1" applyAlignment="1">
      <alignment horizontal="center"/>
    </xf>
    <xf numFmtId="0" fontId="2" fillId="0" borderId="0" xfId="0" applyFont="1" applyAlignment="1">
      <alignment horizontal="center"/>
    </xf>
    <xf numFmtId="164" fontId="3" fillId="0" borderId="0" xfId="0" applyNumberFormat="1" applyFont="1" applyAlignment="1">
      <alignment horizontal="center"/>
    </xf>
    <xf numFmtId="0" fontId="2" fillId="0" borderId="0" xfId="0" applyFont="1" applyAlignment="1">
      <alignment horizontal="left" vertical="top" wrapText="1"/>
    </xf>
    <xf numFmtId="2" fontId="2" fillId="0" borderId="0" xfId="0" applyNumberFormat="1" applyFont="1" applyFill="1" applyAlignment="1">
      <alignment wrapText="1"/>
    </xf>
    <xf numFmtId="0" fontId="2" fillId="0" borderId="0" xfId="0" applyFont="1" applyAlignment="1" applyProtection="1">
      <alignment horizontal="left" vertical="top" wrapText="1"/>
      <protection locked="0" hidden="1"/>
    </xf>
    <xf numFmtId="0" fontId="0" fillId="0" borderId="0" xfId="0" applyAlignment="1">
      <alignment wrapText="1"/>
    </xf>
    <xf numFmtId="0" fontId="3" fillId="0" borderId="0" xfId="0" applyNumberFormat="1" applyFont="1" applyAlignment="1">
      <alignment horizontal="centerContinuous"/>
    </xf>
    <xf numFmtId="0" fontId="18" fillId="0" borderId="0" xfId="0" applyFont="1" applyBorder="1" applyAlignment="1">
      <alignment horizontal="centerContinuous"/>
    </xf>
    <xf numFmtId="0" fontId="2" fillId="0" borderId="0" xfId="0" applyNumberFormat="1" applyFont="1" applyAlignment="1">
      <alignment horizontal="centerContinuous"/>
    </xf>
    <xf numFmtId="0" fontId="2" fillId="0" borderId="0" xfId="0" applyNumberFormat="1" applyFont="1" applyAlignment="1"/>
    <xf numFmtId="0" fontId="2" fillId="0" borderId="3" xfId="0" applyNumberFormat="1" applyFont="1" applyBorder="1" applyAlignment="1">
      <alignment horizontal="centerContinuous"/>
    </xf>
    <xf numFmtId="0" fontId="2" fillId="0" borderId="3" xfId="0" applyNumberFormat="1" applyFont="1" applyBorder="1" applyAlignment="1">
      <alignment horizontal="center"/>
    </xf>
    <xf numFmtId="0" fontId="2" fillId="0" borderId="0" xfId="0" applyNumberFormat="1" applyFont="1" applyAlignment="1">
      <alignment horizontal="center"/>
    </xf>
    <xf numFmtId="0" fontId="2" fillId="0" borderId="1" xfId="0" applyNumberFormat="1" applyFont="1" applyBorder="1" applyAlignment="1">
      <alignment horizontal="center"/>
    </xf>
    <xf numFmtId="0" fontId="2" fillId="0" borderId="4" xfId="0" applyNumberFormat="1" applyFont="1" applyBorder="1" applyAlignment="1">
      <alignment horizontal="center"/>
    </xf>
    <xf numFmtId="0" fontId="19" fillId="0" borderId="1" xfId="0" applyNumberFormat="1" applyFont="1" applyBorder="1" applyAlignment="1">
      <alignment horizontal="center"/>
    </xf>
    <xf numFmtId="0" fontId="2" fillId="0" borderId="0" xfId="0" applyNumberFormat="1" applyFont="1" applyBorder="1" applyAlignment="1">
      <alignment horizontal="center"/>
    </xf>
    <xf numFmtId="170" fontId="2" fillId="0" borderId="0" xfId="0" applyNumberFormat="1" applyFont="1" applyAlignment="1"/>
    <xf numFmtId="0" fontId="2" fillId="0" borderId="5" xfId="0" applyNumberFormat="1" applyFont="1" applyBorder="1" applyAlignment="1">
      <alignment horizontal="center"/>
    </xf>
    <xf numFmtId="0" fontId="2" fillId="0" borderId="6" xfId="0" applyNumberFormat="1" applyFont="1" applyBorder="1" applyAlignment="1">
      <alignment horizontal="center"/>
    </xf>
    <xf numFmtId="0" fontId="2" fillId="0" borderId="7" xfId="0" applyNumberFormat="1" applyFont="1" applyBorder="1" applyAlignment="1">
      <alignment horizontal="center"/>
    </xf>
    <xf numFmtId="164" fontId="2" fillId="0" borderId="0" xfId="0" applyNumberFormat="1" applyFont="1" applyAlignment="1"/>
    <xf numFmtId="0" fontId="3" fillId="0" borderId="0" xfId="0" applyNumberFormat="1" applyFont="1" applyAlignment="1"/>
    <xf numFmtId="171" fontId="2" fillId="0" borderId="0" xfId="0" applyNumberFormat="1" applyFont="1" applyAlignment="1">
      <alignment horizontal="centerContinuous"/>
    </xf>
    <xf numFmtId="164" fontId="7" fillId="0" borderId="0" xfId="0" applyNumberFormat="1" applyFont="1" applyAlignment="1">
      <alignment horizontal="right"/>
    </xf>
    <xf numFmtId="172" fontId="2" fillId="0" borderId="0" xfId="0" applyNumberFormat="1" applyFont="1" applyAlignment="1"/>
    <xf numFmtId="0" fontId="2" fillId="0" borderId="0" xfId="0" applyFont="1" applyAlignment="1">
      <alignment horizontal="right" vertical="center" readingOrder="1"/>
    </xf>
    <xf numFmtId="0" fontId="2" fillId="0" borderId="0" xfId="0" applyFont="1"/>
    <xf numFmtId="0" fontId="2" fillId="0" borderId="0" xfId="1" applyFont="1"/>
    <xf numFmtId="0" fontId="2" fillId="0" borderId="0" xfId="0" applyFont="1" applyAlignment="1">
      <alignment horizontal="center"/>
    </xf>
    <xf numFmtId="0" fontId="2" fillId="0" borderId="0" xfId="0" applyFont="1" applyFill="1" applyBorder="1"/>
    <xf numFmtId="168" fontId="2" fillId="0" borderId="0" xfId="5" applyNumberFormat="1" applyFont="1" applyFill="1" applyBorder="1"/>
    <xf numFmtId="168" fontId="11" fillId="0" borderId="0" xfId="5" applyNumberFormat="1" applyFont="1" applyFill="1" applyBorder="1"/>
    <xf numFmtId="168" fontId="2" fillId="0" borderId="12" xfId="4" applyNumberFormat="1" applyFont="1" applyFill="1" applyBorder="1" applyAlignment="1">
      <alignment horizontal="center" vertical="center"/>
    </xf>
    <xf numFmtId="0" fontId="0" fillId="0" borderId="0" xfId="0" applyAlignment="1"/>
    <xf numFmtId="164" fontId="2" fillId="0" borderId="0" xfId="0" applyNumberFormat="1" applyFont="1" applyFill="1" applyAlignment="1">
      <alignment horizontal="right"/>
    </xf>
    <xf numFmtId="0" fontId="3" fillId="0" borderId="0" xfId="0" applyFont="1" applyFill="1" applyAlignment="1">
      <alignment horizontal="centerContinuous"/>
    </xf>
    <xf numFmtId="0" fontId="2" fillId="0" borderId="0" xfId="0" applyFont="1" applyFill="1" applyAlignment="1">
      <alignment horizontal="left"/>
    </xf>
    <xf numFmtId="3" fontId="2" fillId="0" borderId="0" xfId="0" applyNumberFormat="1" applyFont="1" applyFill="1"/>
    <xf numFmtId="0" fontId="2" fillId="0" borderId="0" xfId="0" applyFont="1" applyFill="1" applyAlignment="1">
      <alignment horizontal="left" vertical="top"/>
    </xf>
    <xf numFmtId="0" fontId="3" fillId="0" borderId="0" xfId="1" applyFont="1" applyAlignment="1">
      <alignment horizontal="center" wrapText="1"/>
    </xf>
    <xf numFmtId="0" fontId="3" fillId="0" borderId="0" xfId="1" applyFont="1" applyFill="1" applyAlignment="1">
      <alignment horizontal="center" wrapText="1"/>
    </xf>
    <xf numFmtId="0" fontId="12" fillId="0" borderId="0" xfId="0" applyFont="1" applyAlignment="1"/>
    <xf numFmtId="0" fontId="2" fillId="0" borderId="0" xfId="1" applyFont="1"/>
    <xf numFmtId="0" fontId="2" fillId="0" borderId="0" xfId="0" applyFont="1" applyFill="1" applyAlignment="1">
      <alignment vertical="top" wrapText="1"/>
    </xf>
    <xf numFmtId="0" fontId="4" fillId="0" borderId="0" xfId="1" applyFont="1" applyFill="1" applyAlignment="1">
      <alignment horizontal="left" indent="3"/>
    </xf>
    <xf numFmtId="0" fontId="2" fillId="0" borderId="0" xfId="1" applyFont="1"/>
    <xf numFmtId="0" fontId="2" fillId="0" borderId="0" xfId="0" applyFont="1"/>
    <xf numFmtId="0" fontId="2" fillId="0" borderId="0" xfId="0" applyFont="1" applyAlignment="1">
      <alignment horizontal="center"/>
    </xf>
    <xf numFmtId="0" fontId="9" fillId="0" borderId="0" xfId="0" applyFont="1" applyAlignment="1">
      <alignment horizontal="left"/>
    </xf>
    <xf numFmtId="1" fontId="2" fillId="0" borderId="0" xfId="1" applyNumberFormat="1" applyFont="1" applyFill="1" applyBorder="1" applyAlignment="1">
      <alignment horizontal="center"/>
    </xf>
    <xf numFmtId="0" fontId="2" fillId="0" borderId="0" xfId="0" applyFont="1"/>
    <xf numFmtId="0" fontId="2" fillId="0" borderId="0" xfId="0" applyFont="1" applyAlignment="1">
      <alignment horizontal="center"/>
    </xf>
    <xf numFmtId="0" fontId="2" fillId="0" borderId="0" xfId="1" applyFont="1" applyFill="1" applyAlignment="1">
      <alignment vertical="top" wrapText="1"/>
    </xf>
    <xf numFmtId="0" fontId="2" fillId="0" borderId="0" xfId="1" applyFont="1" applyFill="1" applyAlignment="1">
      <alignment horizontal="left" vertical="top" wrapText="1"/>
    </xf>
    <xf numFmtId="0" fontId="17" fillId="0" borderId="0" xfId="0" applyFont="1" applyAlignment="1">
      <alignment vertical="justify"/>
    </xf>
    <xf numFmtId="0" fontId="2" fillId="0" borderId="0" xfId="0" applyFont="1"/>
    <xf numFmtId="0" fontId="2" fillId="0" borderId="0" xfId="1" applyFont="1"/>
    <xf numFmtId="0" fontId="2" fillId="0" borderId="0" xfId="0" applyFont="1" applyAlignment="1">
      <alignment horizontal="center"/>
    </xf>
    <xf numFmtId="0" fontId="2" fillId="0" borderId="0" xfId="0" applyFont="1"/>
    <xf numFmtId="0" fontId="2" fillId="0" borderId="0" xfId="0" applyFont="1" applyAlignment="1">
      <alignment horizontal="center"/>
    </xf>
    <xf numFmtId="0" fontId="2" fillId="0" borderId="1" xfId="0" applyFont="1" applyFill="1" applyBorder="1" applyAlignment="1">
      <alignment horizontal="center"/>
    </xf>
    <xf numFmtId="164" fontId="3" fillId="0" borderId="0" xfId="0" applyNumberFormat="1" applyFont="1" applyFill="1" applyAlignment="1">
      <alignment horizontal="centerContinuous"/>
    </xf>
    <xf numFmtId="0" fontId="3" fillId="0" borderId="0" xfId="1" applyFont="1" applyAlignment="1">
      <alignment horizontal="centerContinuous" wrapText="1"/>
    </xf>
    <xf numFmtId="0" fontId="12" fillId="0" borderId="0" xfId="0" applyFont="1" applyAlignment="1">
      <alignment horizontal="centerContinuous"/>
    </xf>
    <xf numFmtId="0" fontId="12" fillId="0" borderId="0" xfId="0" applyFont="1" applyBorder="1" applyAlignment="1">
      <alignment horizontal="centerContinuous"/>
    </xf>
    <xf numFmtId="0" fontId="3" fillId="0" borderId="0" xfId="1" applyFont="1" applyFill="1" applyAlignment="1">
      <alignment horizontal="centerContinuous" wrapText="1"/>
    </xf>
    <xf numFmtId="0" fontId="17" fillId="0" borderId="0" xfId="0" applyFont="1" applyAlignment="1">
      <alignment horizontal="centerContinuous" wrapText="1"/>
    </xf>
    <xf numFmtId="0" fontId="3" fillId="0" borderId="0" xfId="0" applyFont="1" applyAlignment="1">
      <alignment horizontal="centerContinuous"/>
    </xf>
    <xf numFmtId="0" fontId="2" fillId="0" borderId="1" xfId="1" applyFont="1" applyFill="1" applyBorder="1" applyAlignment="1">
      <alignment horizontal="centerContinuous"/>
    </xf>
    <xf numFmtId="0" fontId="17" fillId="0" borderId="1" xfId="0" applyFont="1" applyBorder="1" applyAlignment="1">
      <alignment horizontal="centerContinuous"/>
    </xf>
    <xf numFmtId="0" fontId="2" fillId="0" borderId="0" xfId="1" applyFont="1" applyFill="1" applyBorder="1" applyAlignment="1">
      <alignment horizontal="centerContinuous"/>
    </xf>
    <xf numFmtId="0" fontId="0" fillId="0" borderId="0" xfId="0" applyAlignment="1">
      <alignment horizontal="left" vertical="top"/>
    </xf>
    <xf numFmtId="165" fontId="9" fillId="0" borderId="0" xfId="1" applyNumberFormat="1" applyFont="1" applyFill="1" applyAlignment="1">
      <alignment horizontal="center"/>
    </xf>
    <xf numFmtId="164" fontId="2" fillId="0" borderId="0" xfId="0" quotePrefix="1" applyNumberFormat="1" applyFont="1" applyFill="1" applyAlignment="1">
      <alignment horizontal="center"/>
    </xf>
    <xf numFmtId="0" fontId="2" fillId="0" borderId="0" xfId="0" applyFont="1" applyAlignment="1">
      <alignment horizontal="center"/>
    </xf>
    <xf numFmtId="164" fontId="9" fillId="0" borderId="0" xfId="0" applyNumberFormat="1" applyFont="1" applyFill="1" applyAlignment="1">
      <alignment horizontal="center"/>
    </xf>
    <xf numFmtId="168" fontId="11" fillId="0" borderId="0" xfId="0" applyNumberFormat="1" applyFont="1" applyFill="1"/>
    <xf numFmtId="0" fontId="4" fillId="0" borderId="0" xfId="0" applyFont="1" applyFill="1" applyBorder="1" applyAlignment="1">
      <alignment horizontal="center"/>
    </xf>
    <xf numFmtId="168" fontId="2" fillId="0" borderId="0" xfId="0" applyNumberFormat="1" applyFont="1" applyFill="1" applyAlignment="1">
      <alignment horizontal="right" indent="3"/>
    </xf>
    <xf numFmtId="0" fontId="2" fillId="0" borderId="0" xfId="0" applyFont="1" applyFill="1" applyAlignment="1">
      <alignment horizontal="right" indent="3"/>
    </xf>
    <xf numFmtId="168" fontId="2" fillId="0" borderId="0" xfId="0" applyNumberFormat="1" applyFont="1" applyFill="1" applyBorder="1" applyAlignment="1">
      <alignment horizontal="right" indent="3"/>
    </xf>
    <xf numFmtId="0" fontId="2" fillId="0" borderId="0" xfId="0" applyFont="1" applyFill="1" applyBorder="1" applyAlignment="1">
      <alignment horizontal="right" indent="3"/>
    </xf>
    <xf numFmtId="0" fontId="2" fillId="0" borderId="0" xfId="0" quotePrefix="1" applyFont="1" applyFill="1" applyAlignment="1">
      <alignment horizontal="center" vertical="top" wrapText="1"/>
    </xf>
    <xf numFmtId="0" fontId="2" fillId="0" borderId="0" xfId="0" applyFont="1" applyFill="1" applyBorder="1" applyAlignment="1">
      <alignment horizontal="left"/>
    </xf>
    <xf numFmtId="164" fontId="11" fillId="0" borderId="0" xfId="0" applyNumberFormat="1" applyFont="1" applyFill="1" applyAlignment="1">
      <alignment horizontal="center"/>
    </xf>
    <xf numFmtId="0" fontId="2" fillId="0" borderId="0" xfId="0" applyFont="1" applyFill="1" applyAlignment="1">
      <alignment vertical="top"/>
    </xf>
    <xf numFmtId="168" fontId="2" fillId="0" borderId="0" xfId="0" applyNumberFormat="1" applyFont="1" applyFill="1" applyAlignment="1">
      <alignment horizontal="center"/>
    </xf>
    <xf numFmtId="168" fontId="2" fillId="0" borderId="0" xfId="0" applyNumberFormat="1" applyFont="1" applyFill="1" applyAlignment="1">
      <alignment horizontal="right"/>
    </xf>
    <xf numFmtId="0" fontId="9" fillId="0" borderId="0" xfId="0" applyFont="1" applyFill="1"/>
    <xf numFmtId="3" fontId="21" fillId="0" borderId="0" xfId="0" applyNumberFormat="1" applyFont="1"/>
    <xf numFmtId="164" fontId="21" fillId="0" borderId="0" xfId="0" applyNumberFormat="1" applyFont="1" applyFill="1" applyAlignment="1">
      <alignment horizontal="center"/>
    </xf>
    <xf numFmtId="3" fontId="2" fillId="0" borderId="0" xfId="3" applyNumberFormat="1" applyFont="1" applyFill="1"/>
    <xf numFmtId="164" fontId="9" fillId="0" borderId="0" xfId="0" applyNumberFormat="1" applyFont="1" applyFill="1" applyBorder="1" applyAlignment="1">
      <alignment horizontal="center"/>
    </xf>
    <xf numFmtId="1" fontId="2" fillId="0" borderId="0" xfId="0" applyNumberFormat="1" applyFont="1"/>
    <xf numFmtId="10" fontId="2" fillId="0" borderId="0" xfId="4" applyNumberFormat="1" applyFont="1"/>
    <xf numFmtId="0" fontId="3" fillId="0" borderId="0" xfId="3" applyFont="1" applyAlignment="1">
      <alignment horizontal="centerContinuous"/>
    </xf>
    <xf numFmtId="0" fontId="2" fillId="0" borderId="0" xfId="3" applyFont="1" applyAlignment="1">
      <alignment horizontal="centerContinuous"/>
    </xf>
    <xf numFmtId="2" fontId="3" fillId="0" borderId="0" xfId="0" applyNumberFormat="1" applyFont="1" applyAlignment="1">
      <alignment horizontal="centerContinuous"/>
    </xf>
    <xf numFmtId="0" fontId="3" fillId="0" borderId="0" xfId="0" applyFont="1" applyAlignment="1" applyProtection="1">
      <alignment horizontal="centerContinuous"/>
      <protection locked="0" hidden="1"/>
    </xf>
    <xf numFmtId="9" fontId="3" fillId="0" borderId="0" xfId="5" applyFont="1" applyAlignment="1" applyProtection="1">
      <alignment horizontal="centerContinuous"/>
      <protection locked="0" hidden="1"/>
    </xf>
    <xf numFmtId="164" fontId="3" fillId="0" borderId="0" xfId="1" applyNumberFormat="1" applyFont="1" applyFill="1" applyAlignment="1">
      <alignment horizontal="centerContinuous"/>
    </xf>
    <xf numFmtId="0" fontId="2" fillId="0" borderId="0" xfId="1" applyFont="1" applyFill="1" applyAlignment="1">
      <alignment vertical="top" wrapText="1"/>
    </xf>
    <xf numFmtId="0" fontId="17" fillId="0" borderId="0" xfId="0" applyFont="1" applyAlignment="1">
      <alignment vertical="top"/>
    </xf>
    <xf numFmtId="0" fontId="2" fillId="0" borderId="0" xfId="1" applyFont="1" applyFill="1" applyAlignment="1">
      <alignment wrapText="1"/>
    </xf>
    <xf numFmtId="0" fontId="17" fillId="0" borderId="0" xfId="0" applyFont="1" applyAlignment="1"/>
    <xf numFmtId="0" fontId="17" fillId="0" borderId="0" xfId="0" applyFont="1" applyAlignment="1">
      <alignment vertical="justify"/>
    </xf>
    <xf numFmtId="0" fontId="2" fillId="0" borderId="0" xfId="0" applyFont="1"/>
    <xf numFmtId="0" fontId="3" fillId="0" borderId="0" xfId="1" applyFont="1" applyAlignment="1">
      <alignment horizontal="center" wrapText="1"/>
    </xf>
    <xf numFmtId="0" fontId="2" fillId="0" borderId="0" xfId="1" applyFont="1"/>
    <xf numFmtId="168" fontId="11" fillId="0" borderId="0" xfId="5" applyNumberFormat="1" applyFont="1" applyFill="1" applyAlignment="1">
      <alignment horizontal="center" vertical="top" wrapText="1"/>
    </xf>
    <xf numFmtId="168" fontId="11" fillId="0" borderId="0" xfId="3" applyNumberFormat="1" applyFont="1" applyFill="1" applyAlignment="1">
      <alignment horizontal="right"/>
    </xf>
    <xf numFmtId="0" fontId="2" fillId="0" borderId="0" xfId="0" applyFont="1"/>
    <xf numFmtId="0" fontId="2" fillId="0" borderId="0" xfId="3" applyFont="1" applyAlignment="1">
      <alignment vertical="top" wrapText="1"/>
    </xf>
    <xf numFmtId="0" fontId="2" fillId="0" borderId="0" xfId="3" applyFont="1" applyAlignment="1"/>
    <xf numFmtId="0" fontId="2" fillId="0" borderId="0" xfId="3" applyFont="1" applyAlignment="1">
      <alignment vertical="top"/>
    </xf>
    <xf numFmtId="0" fontId="2" fillId="0" borderId="0" xfId="0" applyFont="1"/>
    <xf numFmtId="0" fontId="2" fillId="0" borderId="0" xfId="0" applyFont="1"/>
    <xf numFmtId="164" fontId="11" fillId="0" borderId="1" xfId="0" applyNumberFormat="1" applyFont="1" applyFill="1" applyBorder="1"/>
    <xf numFmtId="0" fontId="20" fillId="0" borderId="0" xfId="0" applyNumberFormat="1" applyFont="1" applyAlignment="1">
      <alignment horizontal="centerContinuous"/>
    </xf>
    <xf numFmtId="165" fontId="2" fillId="0" borderId="0" xfId="1" quotePrefix="1" applyNumberFormat="1" applyFont="1" applyFill="1" applyAlignment="1">
      <alignment horizontal="center"/>
    </xf>
    <xf numFmtId="0" fontId="3" fillId="0" borderId="0" xfId="0" applyFont="1" applyAlignment="1">
      <alignment horizontal="center"/>
    </xf>
    <xf numFmtId="0" fontId="2" fillId="0" borderId="0" xfId="0" applyFont="1" applyBorder="1" applyAlignment="1">
      <alignment horizontal="center"/>
    </xf>
    <xf numFmtId="9" fontId="20" fillId="0" borderId="0" xfId="5" applyFont="1" applyAlignment="1" applyProtection="1">
      <alignment horizontal="centerContinuous"/>
      <protection locked="0" hidden="1"/>
    </xf>
    <xf numFmtId="0" fontId="2" fillId="0" borderId="0" xfId="1" applyFont="1" applyFill="1" applyAlignment="1">
      <alignment vertical="top" wrapText="1"/>
    </xf>
    <xf numFmtId="0" fontId="17" fillId="0" borderId="0" xfId="0" applyFont="1" applyAlignment="1">
      <alignment vertical="top"/>
    </xf>
    <xf numFmtId="0" fontId="2" fillId="0" borderId="0" xfId="1" applyFont="1" applyFill="1" applyAlignment="1">
      <alignment horizontal="left" vertical="top" wrapText="1"/>
    </xf>
    <xf numFmtId="0" fontId="17" fillId="0" borderId="0" xfId="0" applyFont="1" applyAlignment="1">
      <alignment vertical="justify"/>
    </xf>
    <xf numFmtId="0" fontId="2" fillId="0" borderId="0" xfId="0" applyFont="1"/>
    <xf numFmtId="0" fontId="2" fillId="0" borderId="0" xfId="1" applyFont="1"/>
    <xf numFmtId="0" fontId="2" fillId="0" borderId="0" xfId="1" applyFont="1" applyFill="1" applyAlignment="1">
      <alignment vertical="top"/>
    </xf>
    <xf numFmtId="0" fontId="0" fillId="0" borderId="0" xfId="0" applyAlignment="1">
      <alignment vertical="top"/>
    </xf>
    <xf numFmtId="165" fontId="2" fillId="0" borderId="0" xfId="1" applyNumberFormat="1" applyFont="1" applyAlignment="1"/>
    <xf numFmtId="0" fontId="2" fillId="0" borderId="0" xfId="1" applyFont="1" applyFill="1" applyAlignment="1">
      <alignment horizontal="left" vertical="justify"/>
    </xf>
    <xf numFmtId="0" fontId="4" fillId="0" borderId="0" xfId="0" applyFont="1" applyAlignment="1">
      <alignment horizontal="left"/>
    </xf>
    <xf numFmtId="0" fontId="4" fillId="0" borderId="0" xfId="0" applyFont="1" applyAlignment="1">
      <alignment wrapText="1"/>
    </xf>
    <xf numFmtId="0" fontId="2" fillId="0" borderId="0" xfId="0" applyFont="1" applyAlignment="1">
      <alignment horizontal="left" vertical="top" wrapText="1"/>
    </xf>
    <xf numFmtId="0" fontId="17" fillId="0" borderId="0" xfId="0" applyFont="1" applyAlignment="1">
      <alignment horizontal="left" vertical="top" wrapText="1"/>
    </xf>
    <xf numFmtId="0" fontId="2" fillId="0" borderId="0" xfId="0" applyFont="1" applyAlignment="1" applyProtection="1">
      <alignment horizontal="left" vertical="top" wrapText="1"/>
      <protection locked="0" hidden="1"/>
    </xf>
    <xf numFmtId="164" fontId="13" fillId="0" borderId="9" xfId="0" applyNumberFormat="1" applyFont="1" applyFill="1" applyBorder="1" applyAlignment="1">
      <alignment horizontal="center"/>
    </xf>
    <xf numFmtId="0" fontId="13" fillId="0" borderId="2" xfId="0" applyFont="1" applyFill="1" applyBorder="1" applyAlignment="1">
      <alignment horizontal="center"/>
    </xf>
    <xf numFmtId="0" fontId="13" fillId="0" borderId="10" xfId="0" applyFont="1" applyFill="1" applyBorder="1" applyAlignment="1">
      <alignment horizontal="center"/>
    </xf>
    <xf numFmtId="168" fontId="12" fillId="0" borderId="12" xfId="4" applyNumberFormat="1" applyFont="1" applyFill="1" applyBorder="1" applyAlignment="1">
      <alignment horizontal="center"/>
    </xf>
    <xf numFmtId="0" fontId="2" fillId="0" borderId="13" xfId="0" applyFont="1" applyFill="1" applyBorder="1" applyAlignment="1">
      <alignment horizontal="center"/>
    </xf>
    <xf numFmtId="168" fontId="12" fillId="0" borderId="14" xfId="4" applyNumberFormat="1" applyFont="1" applyFill="1" applyBorder="1" applyAlignment="1">
      <alignment horizontal="center"/>
    </xf>
    <xf numFmtId="168" fontId="11" fillId="0" borderId="0" xfId="3" applyNumberFormat="1" applyFont="1" applyFill="1"/>
    <xf numFmtId="167" fontId="2" fillId="0" borderId="0" xfId="0" applyNumberFormat="1" applyFont="1" applyFill="1"/>
    <xf numFmtId="2" fontId="2" fillId="0" borderId="0" xfId="0" applyNumberFormat="1" applyFont="1" applyFill="1"/>
    <xf numFmtId="14" fontId="9" fillId="0" borderId="0" xfId="0" quotePrefix="1" applyNumberFormat="1" applyFont="1" applyFill="1" applyAlignment="1">
      <alignment horizontal="center"/>
    </xf>
    <xf numFmtId="0" fontId="12" fillId="0" borderId="0" xfId="0" applyFont="1" applyFill="1" applyAlignment="1">
      <alignment horizontal="centerContinuous"/>
    </xf>
    <xf numFmtId="0" fontId="2" fillId="0" borderId="0" xfId="0" applyFont="1" applyFill="1" applyAlignment="1">
      <alignment horizontal="center" wrapText="1"/>
    </xf>
    <xf numFmtId="0" fontId="4" fillId="0" borderId="0" xfId="0" applyFont="1" applyFill="1" applyAlignment="1">
      <alignment horizontal="center" wrapText="1"/>
    </xf>
    <xf numFmtId="164" fontId="7" fillId="0" borderId="0" xfId="0" applyNumberFormat="1" applyFont="1" applyFill="1" applyAlignment="1">
      <alignment horizontal="center"/>
    </xf>
    <xf numFmtId="0" fontId="2" fillId="0" borderId="0" xfId="0" applyFont="1" applyFill="1" applyAlignment="1">
      <alignment horizontal="justify" vertical="justify"/>
    </xf>
    <xf numFmtId="0" fontId="3" fillId="0" borderId="0" xfId="1" applyFont="1" applyFill="1" applyAlignment="1">
      <alignment horizontal="centerContinuous"/>
    </xf>
    <xf numFmtId="0" fontId="6" fillId="0" borderId="0" xfId="1" applyFont="1" applyFill="1" applyAlignment="1">
      <alignment horizontal="center"/>
    </xf>
    <xf numFmtId="0" fontId="17" fillId="0" borderId="0" xfId="0" applyFont="1" applyFill="1" applyAlignment="1"/>
    <xf numFmtId="0" fontId="12" fillId="0" borderId="0" xfId="0" applyFont="1" applyFill="1" applyAlignment="1">
      <alignment wrapText="1"/>
    </xf>
    <xf numFmtId="0" fontId="2" fillId="0" borderId="0" xfId="0" applyFont="1" applyFill="1" applyAlignment="1">
      <alignment horizontal="right"/>
    </xf>
    <xf numFmtId="175" fontId="21" fillId="0" borderId="0" xfId="6" applyNumberFormat="1" applyFont="1" applyFill="1"/>
    <xf numFmtId="0" fontId="2" fillId="0" borderId="0" xfId="1" applyFont="1" applyFill="1" applyAlignment="1"/>
    <xf numFmtId="0" fontId="17" fillId="0" borderId="0" xfId="0" applyFont="1" applyFill="1" applyAlignment="1">
      <alignment vertical="top"/>
    </xf>
    <xf numFmtId="0" fontId="12" fillId="0" borderId="0" xfId="0" applyFont="1" applyFill="1" applyAlignment="1">
      <alignment horizontal="left"/>
    </xf>
    <xf numFmtId="0" fontId="2" fillId="0" borderId="0" xfId="0" applyFont="1"/>
    <xf numFmtId="0" fontId="4" fillId="0" borderId="0" xfId="0" applyFont="1"/>
    <xf numFmtId="0" fontId="2" fillId="0" borderId="0" xfId="0" applyFont="1"/>
    <xf numFmtId="0" fontId="4" fillId="0" borderId="0" xfId="0" applyFont="1"/>
    <xf numFmtId="0" fontId="2" fillId="0" borderId="1" xfId="0" applyFont="1" applyBorder="1" applyAlignment="1">
      <alignment horizontal="centerContinuous"/>
    </xf>
    <xf numFmtId="174" fontId="21" fillId="0" borderId="0" xfId="6" applyNumberFormat="1" applyFont="1" applyFill="1" applyAlignment="1">
      <alignment horizontal="distributed"/>
    </xf>
    <xf numFmtId="168" fontId="21" fillId="0" borderId="0" xfId="4" applyNumberFormat="1" applyFont="1"/>
    <xf numFmtId="0" fontId="1" fillId="0" borderId="0" xfId="0" applyFont="1"/>
    <xf numFmtId="0" fontId="1" fillId="0" borderId="1" xfId="0" applyFont="1" applyBorder="1" applyAlignment="1">
      <alignment horizontal="centerContinuous"/>
    </xf>
    <xf numFmtId="0" fontId="1" fillId="0" borderId="0" xfId="0" applyFont="1" applyAlignment="1">
      <alignment horizontal="right"/>
    </xf>
    <xf numFmtId="43" fontId="21" fillId="0" borderId="0" xfId="6" applyNumberFormat="1" applyFont="1"/>
    <xf numFmtId="0" fontId="9" fillId="0" borderId="0" xfId="0" applyFont="1" applyAlignment="1">
      <alignment horizontal="right"/>
    </xf>
    <xf numFmtId="0" fontId="2" fillId="0" borderId="0" xfId="0" applyFont="1"/>
    <xf numFmtId="0" fontId="2" fillId="0" borderId="0" xfId="0" applyFont="1"/>
    <xf numFmtId="0" fontId="12" fillId="0" borderId="0" xfId="0" applyFont="1" applyFill="1" applyBorder="1" applyAlignment="1">
      <alignment horizontal="center"/>
    </xf>
    <xf numFmtId="0" fontId="2" fillId="0" borderId="0" xfId="0" applyFont="1" applyFill="1" applyAlignment="1">
      <alignment vertical="top" wrapText="1"/>
    </xf>
    <xf numFmtId="0" fontId="2" fillId="0" borderId="2" xfId="0" applyFont="1" applyFill="1" applyBorder="1" applyAlignment="1">
      <alignment horizontal="center"/>
    </xf>
    <xf numFmtId="0" fontId="2" fillId="0" borderId="0" xfId="0" applyFont="1" applyAlignment="1">
      <alignment horizontal="left" vertical="top" wrapText="1"/>
    </xf>
    <xf numFmtId="0" fontId="2" fillId="0" borderId="1" xfId="0" applyFont="1" applyBorder="1" applyAlignment="1">
      <alignment horizontal="center"/>
    </xf>
    <xf numFmtId="0" fontId="2" fillId="0" borderId="0" xfId="0" applyFont="1"/>
    <xf numFmtId="0" fontId="2" fillId="0" borderId="0" xfId="0" applyFont="1" applyFill="1" applyBorder="1" applyAlignment="1">
      <alignment horizontal="center"/>
    </xf>
    <xf numFmtId="0" fontId="22" fillId="0" borderId="0" xfId="1" applyFont="1" applyAlignment="1">
      <alignment horizontal="center"/>
    </xf>
    <xf numFmtId="165" fontId="11" fillId="0" borderId="0" xfId="1" applyNumberFormat="1" applyFont="1" applyAlignment="1">
      <alignment horizontal="center"/>
    </xf>
    <xf numFmtId="3" fontId="11" fillId="0" borderId="0" xfId="0" applyNumberFormat="1" applyFont="1"/>
    <xf numFmtId="164" fontId="11" fillId="0" borderId="0" xfId="0" applyNumberFormat="1" applyFont="1"/>
    <xf numFmtId="165" fontId="11" fillId="0" borderId="0" xfId="0" applyNumberFormat="1" applyFont="1"/>
    <xf numFmtId="3" fontId="11" fillId="0" borderId="0" xfId="1" applyNumberFormat="1" applyFont="1" applyFill="1" applyAlignment="1"/>
    <xf numFmtId="3" fontId="11" fillId="0" borderId="0" xfId="1" applyNumberFormat="1" applyFont="1"/>
    <xf numFmtId="3" fontId="11" fillId="0" borderId="1" xfId="1" applyNumberFormat="1" applyFont="1" applyFill="1" applyBorder="1" applyAlignment="1"/>
    <xf numFmtId="3" fontId="11" fillId="0" borderId="1" xfId="1" applyNumberFormat="1" applyFont="1" applyBorder="1"/>
    <xf numFmtId="3" fontId="11" fillId="0" borderId="1" xfId="1" applyNumberFormat="1" applyFont="1" applyBorder="1" applyAlignment="1"/>
    <xf numFmtId="3" fontId="11" fillId="0" borderId="0" xfId="1" applyNumberFormat="1" applyFont="1" applyFill="1" applyBorder="1" applyAlignment="1"/>
    <xf numFmtId="3" fontId="11" fillId="0" borderId="0" xfId="1" applyNumberFormat="1" applyFont="1" applyBorder="1" applyAlignment="1"/>
    <xf numFmtId="3" fontId="11" fillId="0" borderId="0" xfId="1" applyNumberFormat="1" applyFont="1" applyAlignment="1"/>
    <xf numFmtId="165" fontId="2" fillId="0" borderId="0" xfId="1" applyNumberFormat="1" applyAlignment="1">
      <alignment horizontal="center"/>
    </xf>
    <xf numFmtId="0" fontId="11" fillId="0" borderId="0" xfId="0" applyFont="1"/>
    <xf numFmtId="164" fontId="11" fillId="0" borderId="0" xfId="4" applyNumberFormat="1" applyFont="1" applyFill="1"/>
    <xf numFmtId="164" fontId="11" fillId="0" borderId="0" xfId="0" applyNumberFormat="1" applyFont="1" applyFill="1" applyBorder="1" applyAlignment="1">
      <alignment horizontal="center"/>
    </xf>
    <xf numFmtId="164" fontId="11" fillId="0" borderId="1" xfId="0" applyNumberFormat="1" applyFont="1" applyFill="1" applyBorder="1" applyAlignment="1">
      <alignment horizontal="center"/>
    </xf>
    <xf numFmtId="0" fontId="11" fillId="0" borderId="0" xfId="0" applyFont="1" applyFill="1" applyAlignment="1">
      <alignment horizontal="center"/>
    </xf>
    <xf numFmtId="167" fontId="11" fillId="0" borderId="0" xfId="0" applyNumberFormat="1" applyFont="1" applyBorder="1" applyAlignment="1">
      <alignment horizontal="center"/>
    </xf>
    <xf numFmtId="167" fontId="11" fillId="0" borderId="0" xfId="0" applyNumberFormat="1" applyFont="1" applyAlignment="1">
      <alignment horizontal="right"/>
    </xf>
    <xf numFmtId="167" fontId="11" fillId="0" borderId="0" xfId="0" quotePrefix="1" applyNumberFormat="1" applyFont="1" applyAlignment="1">
      <alignment horizontal="right"/>
    </xf>
    <xf numFmtId="167" fontId="11" fillId="0" borderId="0" xfId="0" applyNumberFormat="1" applyFont="1" applyFill="1" applyAlignment="1">
      <alignment horizontal="right"/>
    </xf>
    <xf numFmtId="164" fontId="9" fillId="0" borderId="0" xfId="0" applyNumberFormat="1" applyFont="1" applyAlignment="1">
      <alignment horizontal="center"/>
    </xf>
    <xf numFmtId="0" fontId="4" fillId="0" borderId="9" xfId="0" quotePrefix="1" applyFont="1" applyBorder="1" applyAlignment="1">
      <alignment horizontal="center"/>
    </xf>
    <xf numFmtId="0" fontId="4" fillId="0" borderId="2" xfId="0" quotePrefix="1" applyFont="1" applyBorder="1" applyAlignment="1">
      <alignment horizontal="center" wrapText="1"/>
    </xf>
    <xf numFmtId="0" fontId="4" fillId="0" borderId="10" xfId="0" quotePrefix="1" applyFont="1" applyBorder="1" applyAlignment="1">
      <alignment horizontal="center" wrapText="1"/>
    </xf>
    <xf numFmtId="168" fontId="2" fillId="0" borderId="0" xfId="4" applyNumberFormat="1" applyFont="1" applyBorder="1" applyAlignment="1">
      <alignment horizontal="center"/>
    </xf>
    <xf numFmtId="168" fontId="2" fillId="0" borderId="12" xfId="4" applyNumberFormat="1" applyFont="1" applyBorder="1" applyAlignment="1">
      <alignment horizontal="center"/>
    </xf>
    <xf numFmtId="0" fontId="4" fillId="0" borderId="13" xfId="0" quotePrefix="1" applyFont="1" applyBorder="1" applyAlignment="1">
      <alignment horizontal="center" wrapText="1"/>
    </xf>
    <xf numFmtId="168" fontId="2" fillId="0" borderId="1" xfId="4" applyNumberFormat="1" applyFont="1" applyBorder="1" applyAlignment="1">
      <alignment horizontal="center"/>
    </xf>
    <xf numFmtId="0" fontId="2" fillId="0" borderId="14" xfId="0" applyFont="1" applyBorder="1"/>
    <xf numFmtId="168" fontId="11" fillId="0" borderId="0" xfId="4" applyNumberFormat="1" applyFont="1" applyFill="1" applyAlignment="1">
      <alignment horizontal="center"/>
    </xf>
    <xf numFmtId="0" fontId="11" fillId="0" borderId="0" xfId="0" applyFont="1" applyFill="1" applyAlignment="1">
      <alignment horizontal="left"/>
    </xf>
    <xf numFmtId="168" fontId="2" fillId="0" borderId="0" xfId="0" applyNumberFormat="1" applyFont="1" applyAlignment="1">
      <alignment horizontal="center"/>
    </xf>
    <xf numFmtId="0" fontId="11" fillId="0" borderId="0" xfId="0" applyFont="1" applyFill="1"/>
    <xf numFmtId="167" fontId="11" fillId="0" borderId="0" xfId="0" applyNumberFormat="1" applyFont="1" applyFill="1" applyAlignment="1">
      <alignment horizontal="center"/>
    </xf>
    <xf numFmtId="164" fontId="11" fillId="0" borderId="0" xfId="0" applyNumberFormat="1" applyFont="1" applyAlignment="1">
      <alignment horizontal="center"/>
    </xf>
    <xf numFmtId="164" fontId="11" fillId="0" borderId="0" xfId="0" applyNumberFormat="1" applyFont="1" applyAlignment="1">
      <alignment horizontal="center" vertical="center"/>
    </xf>
    <xf numFmtId="8" fontId="11" fillId="0" borderId="0" xfId="0" applyNumberFormat="1" applyFont="1" applyFill="1" applyAlignment="1" applyProtection="1">
      <alignment horizontal="center" vertical="top"/>
      <protection locked="0" hidden="1"/>
    </xf>
    <xf numFmtId="15" fontId="2" fillId="0" borderId="0" xfId="0" quotePrefix="1" applyNumberFormat="1" applyFont="1" applyAlignment="1">
      <alignment horizontal="center"/>
    </xf>
    <xf numFmtId="169" fontId="11" fillId="0" borderId="5" xfId="0" applyNumberFormat="1" applyFont="1" applyBorder="1" applyAlignment="1"/>
    <xf numFmtId="170" fontId="11" fillId="0" borderId="5" xfId="0" applyNumberFormat="1" applyFont="1" applyBorder="1" applyAlignment="1"/>
    <xf numFmtId="170" fontId="11" fillId="0" borderId="5" xfId="0" applyNumberFormat="1" applyFont="1" applyBorder="1" applyAlignment="1">
      <alignment horizontal="right"/>
    </xf>
    <xf numFmtId="169" fontId="11" fillId="0" borderId="0" xfId="0" applyNumberFormat="1" applyFont="1" applyAlignment="1"/>
    <xf numFmtId="170" fontId="11" fillId="0" borderId="0" xfId="0" applyNumberFormat="1" applyFont="1" applyAlignment="1"/>
    <xf numFmtId="170" fontId="11" fillId="0" borderId="0" xfId="0" applyNumberFormat="1" applyFont="1" applyAlignment="1">
      <alignment horizontal="right"/>
    </xf>
    <xf numFmtId="170" fontId="11" fillId="0" borderId="0" xfId="0" applyNumberFormat="1" applyFont="1" applyAlignment="1" applyProtection="1">
      <protection locked="0"/>
    </xf>
    <xf numFmtId="169" fontId="11" fillId="0" borderId="0" xfId="0" applyNumberFormat="1" applyFont="1" applyAlignment="1" applyProtection="1">
      <protection locked="0"/>
    </xf>
    <xf numFmtId="170" fontId="11" fillId="0" borderId="0" xfId="0" applyNumberFormat="1" applyFont="1" applyAlignment="1" applyProtection="1">
      <alignment horizontal="right"/>
      <protection locked="0"/>
    </xf>
    <xf numFmtId="169" fontId="11" fillId="0" borderId="6" xfId="0" applyNumberFormat="1" applyFont="1" applyBorder="1" applyAlignment="1"/>
    <xf numFmtId="170" fontId="11" fillId="0" borderId="6" xfId="0" applyNumberFormat="1" applyFont="1" applyBorder="1" applyAlignment="1"/>
    <xf numFmtId="170" fontId="11" fillId="0" borderId="6" xfId="0" applyNumberFormat="1" applyFont="1" applyBorder="1" applyAlignment="1">
      <alignment horizontal="right"/>
    </xf>
    <xf numFmtId="169" fontId="23" fillId="0" borderId="7" xfId="0" applyNumberFormat="1" applyFont="1" applyBorder="1" applyAlignment="1"/>
    <xf numFmtId="170" fontId="23" fillId="0" borderId="7" xfId="0" applyNumberFormat="1" applyFont="1" applyBorder="1" applyAlignment="1"/>
    <xf numFmtId="170" fontId="23" fillId="0" borderId="7" xfId="0" applyNumberFormat="1" applyFont="1" applyBorder="1" applyAlignment="1">
      <alignment horizontal="right"/>
    </xf>
    <xf numFmtId="170" fontId="11" fillId="0" borderId="7" xfId="0" applyNumberFormat="1" applyFont="1" applyBorder="1" applyAlignment="1"/>
    <xf numFmtId="169" fontId="23" fillId="0" borderId="0" xfId="0" applyNumberFormat="1" applyFont="1" applyBorder="1" applyAlignment="1"/>
    <xf numFmtId="170" fontId="23" fillId="0" borderId="0" xfId="0" applyNumberFormat="1" applyFont="1" applyBorder="1" applyAlignment="1"/>
    <xf numFmtId="170" fontId="23" fillId="0" borderId="0" xfId="0" applyNumberFormat="1" applyFont="1" applyBorder="1" applyAlignment="1">
      <alignment horizontal="right"/>
    </xf>
    <xf numFmtId="170" fontId="11" fillId="0" borderId="0" xfId="0" applyNumberFormat="1" applyFont="1" applyBorder="1" applyAlignment="1"/>
    <xf numFmtId="168" fontId="2" fillId="0" borderId="0" xfId="4" applyNumberFormat="1" applyFont="1" applyFill="1"/>
    <xf numFmtId="3" fontId="11" fillId="0" borderId="1" xfId="0" applyNumberFormat="1" applyFont="1" applyBorder="1"/>
    <xf numFmtId="164" fontId="11" fillId="0" borderId="0" xfId="0" applyNumberFormat="1" applyFont="1" applyFill="1"/>
    <xf numFmtId="3" fontId="11" fillId="0" borderId="0" xfId="3" applyNumberFormat="1" applyFont="1" applyFill="1"/>
    <xf numFmtId="3" fontId="11" fillId="0" borderId="0" xfId="3" applyNumberFormat="1" applyFont="1"/>
    <xf numFmtId="0" fontId="3" fillId="0" borderId="0" xfId="0" applyFont="1" applyFill="1" applyAlignment="1" applyProtection="1">
      <alignment horizontal="centerContinuous"/>
      <protection locked="0" hidden="1"/>
    </xf>
    <xf numFmtId="9" fontId="3" fillId="0" borderId="0" xfId="5" applyFont="1" applyFill="1" applyAlignment="1" applyProtection="1">
      <alignment horizontal="centerContinuous"/>
      <protection locked="0" hidden="1"/>
    </xf>
    <xf numFmtId="4" fontId="12" fillId="0" borderId="9" xfId="0" applyNumberFormat="1" applyFont="1" applyBorder="1" applyAlignment="1"/>
    <xf numFmtId="0" fontId="0" fillId="0" borderId="2" xfId="0" applyBorder="1" applyAlignment="1"/>
    <xf numFmtId="0" fontId="0" fillId="0" borderId="10" xfId="0" applyBorder="1" applyAlignment="1"/>
    <xf numFmtId="168" fontId="12" fillId="0" borderId="1" xfId="0" applyNumberFormat="1" applyFont="1" applyBorder="1" applyAlignment="1">
      <alignment horizontal="center"/>
    </xf>
    <xf numFmtId="0" fontId="1" fillId="0" borderId="9" xfId="0" applyFont="1" applyBorder="1"/>
    <xf numFmtId="0" fontId="1" fillId="0" borderId="10" xfId="0" applyFont="1" applyBorder="1"/>
    <xf numFmtId="0" fontId="2" fillId="0" borderId="11" xfId="1" applyBorder="1" applyAlignment="1">
      <alignment horizontal="center"/>
    </xf>
    <xf numFmtId="164" fontId="2" fillId="0" borderId="12" xfId="0" applyNumberFormat="1" applyFont="1" applyBorder="1"/>
    <xf numFmtId="0" fontId="2" fillId="0" borderId="13" xfId="1" applyBorder="1" applyAlignment="1">
      <alignment horizontal="center"/>
    </xf>
    <xf numFmtId="164" fontId="2" fillId="0" borderId="14" xfId="0" applyNumberFormat="1" applyFont="1" applyBorder="1"/>
    <xf numFmtId="0" fontId="13" fillId="0" borderId="11" xfId="0" applyFont="1" applyBorder="1" applyAlignment="1">
      <alignment horizontal="center"/>
    </xf>
    <xf numFmtId="0" fontId="13" fillId="0" borderId="12" xfId="0" applyFont="1" applyBorder="1" applyAlignment="1">
      <alignment horizontal="center"/>
    </xf>
    <xf numFmtId="0" fontId="2" fillId="0" borderId="9" xfId="1" applyBorder="1" applyAlignment="1">
      <alignment horizontal="center"/>
    </xf>
    <xf numFmtId="164" fontId="2" fillId="0" borderId="10" xfId="0" applyNumberFormat="1" applyFont="1" applyBorder="1"/>
    <xf numFmtId="174" fontId="11" fillId="0" borderId="0" xfId="6" applyNumberFormat="1" applyFont="1" applyFill="1" applyAlignment="1">
      <alignment horizontal="distributed"/>
    </xf>
    <xf numFmtId="168" fontId="11" fillId="0" borderId="0" xfId="4" applyNumberFormat="1" applyFont="1"/>
    <xf numFmtId="168" fontId="2" fillId="0" borderId="0" xfId="4" applyNumberFormat="1" applyFont="1"/>
    <xf numFmtId="3" fontId="23" fillId="0" borderId="0" xfId="0" applyNumberFormat="1" applyFont="1"/>
    <xf numFmtId="168" fontId="7" fillId="0" borderId="0" xfId="4" applyNumberFormat="1" applyFont="1"/>
    <xf numFmtId="43" fontId="2" fillId="0" borderId="0" xfId="6" applyNumberFormat="1" applyFont="1"/>
    <xf numFmtId="175" fontId="11" fillId="0" borderId="0" xfId="6" applyNumberFormat="1" applyFont="1"/>
    <xf numFmtId="168" fontId="23" fillId="0" borderId="0" xfId="4" applyNumberFormat="1" applyFont="1"/>
    <xf numFmtId="0" fontId="2" fillId="0" borderId="0" xfId="0" applyFont="1" applyBorder="1" applyProtection="1">
      <protection locked="0" hidden="1"/>
    </xf>
    <xf numFmtId="0" fontId="4" fillId="0" borderId="9" xfId="0" applyFont="1" applyBorder="1" applyAlignment="1" applyProtection="1">
      <alignment horizontal="center"/>
      <protection locked="0" hidden="1"/>
    </xf>
    <xf numFmtId="0" fontId="4" fillId="0" borderId="2" xfId="0" applyFont="1" applyBorder="1" applyAlignment="1" applyProtection="1">
      <alignment horizontal="center"/>
      <protection locked="0" hidden="1"/>
    </xf>
    <xf numFmtId="0" fontId="4" fillId="0" borderId="10" xfId="0" applyFont="1" applyBorder="1" applyAlignment="1" applyProtection="1">
      <alignment horizontal="center"/>
      <protection locked="0" hidden="1"/>
    </xf>
    <xf numFmtId="0" fontId="2" fillId="0" borderId="11" xfId="0" applyFont="1" applyBorder="1" applyProtection="1">
      <protection locked="0" hidden="1"/>
    </xf>
    <xf numFmtId="0" fontId="2" fillId="0" borderId="12" xfId="0" applyFont="1" applyBorder="1" applyProtection="1">
      <protection locked="0" hidden="1"/>
    </xf>
    <xf numFmtId="168" fontId="11" fillId="0" borderId="13" xfId="0" applyNumberFormat="1" applyFont="1" applyFill="1" applyBorder="1" applyAlignment="1" applyProtection="1">
      <alignment horizontal="center"/>
      <protection locked="0" hidden="1"/>
    </xf>
    <xf numFmtId="168" fontId="11" fillId="0" borderId="1" xfId="0" applyNumberFormat="1" applyFont="1" applyFill="1" applyBorder="1" applyAlignment="1" applyProtection="1">
      <alignment horizontal="center"/>
      <protection locked="0" hidden="1"/>
    </xf>
    <xf numFmtId="168" fontId="2" fillId="0" borderId="14" xfId="0" applyNumberFormat="1" applyFont="1" applyFill="1" applyBorder="1" applyAlignment="1" applyProtection="1">
      <alignment horizontal="center"/>
      <protection locked="0" hidden="1"/>
    </xf>
    <xf numFmtId="0" fontId="2" fillId="0" borderId="0" xfId="1" applyFont="1" applyFill="1" applyAlignment="1">
      <alignment vertical="top" wrapText="1"/>
    </xf>
    <xf numFmtId="0" fontId="17" fillId="0" borderId="0" xfId="0" applyFont="1" applyAlignment="1">
      <alignment vertical="top"/>
    </xf>
    <xf numFmtId="0" fontId="2" fillId="0" borderId="0" xfId="1" applyFont="1" applyFill="1" applyAlignment="1">
      <alignment wrapText="1"/>
    </xf>
    <xf numFmtId="0" fontId="17" fillId="0" borderId="0" xfId="0" applyFont="1" applyAlignment="1"/>
    <xf numFmtId="0" fontId="2" fillId="0" borderId="1" xfId="0" applyFont="1" applyBorder="1" applyAlignment="1">
      <alignment horizontal="center"/>
    </xf>
    <xf numFmtId="0" fontId="2" fillId="0" borderId="0" xfId="0" applyFont="1" applyAlignment="1">
      <alignment horizontal="left" vertical="top" wrapText="1"/>
    </xf>
    <xf numFmtId="0" fontId="2" fillId="0" borderId="0" xfId="0" applyFont="1"/>
    <xf numFmtId="0" fontId="4" fillId="0" borderId="0" xfId="0" applyFont="1"/>
    <xf numFmtId="0" fontId="2" fillId="0" borderId="0" xfId="1" applyFont="1" applyFill="1" applyAlignment="1">
      <alignment horizontal="left" vertical="top" wrapText="1"/>
    </xf>
    <xf numFmtId="0" fontId="2" fillId="0" borderId="0" xfId="1" applyFont="1" applyFill="1"/>
    <xf numFmtId="0" fontId="2" fillId="0" borderId="0" xfId="0" applyFont="1" applyAlignment="1">
      <alignment vertical="top" wrapText="1"/>
    </xf>
    <xf numFmtId="0" fontId="2" fillId="0" borderId="0" xfId="0" applyFont="1" applyAlignment="1">
      <alignment wrapText="1"/>
    </xf>
    <xf numFmtId="175" fontId="11" fillId="0" borderId="2" xfId="6" applyNumberFormat="1" applyFont="1" applyFill="1" applyBorder="1"/>
    <xf numFmtId="175" fontId="11" fillId="0" borderId="0" xfId="6" applyNumberFormat="1" applyFont="1" applyFill="1" applyBorder="1"/>
    <xf numFmtId="175" fontId="11" fillId="0" borderId="1" xfId="6" applyNumberFormat="1" applyFont="1" applyFill="1" applyBorder="1"/>
    <xf numFmtId="168" fontId="2" fillId="0" borderId="0" xfId="5" applyNumberFormat="1" applyFont="1" applyFill="1"/>
    <xf numFmtId="10" fontId="2" fillId="0" borderId="0" xfId="5" applyNumberFormat="1" applyFont="1" applyFill="1"/>
    <xf numFmtId="10" fontId="2" fillId="0" borderId="0" xfId="4" applyNumberFormat="1" applyFont="1" applyFill="1"/>
    <xf numFmtId="165" fontId="2" fillId="0" borderId="0" xfId="5" applyNumberFormat="1" applyFont="1" applyFill="1"/>
    <xf numFmtId="165" fontId="2" fillId="0" borderId="0" xfId="0" applyNumberFormat="1" applyFont="1" applyAlignment="1">
      <alignment horizontal="center"/>
    </xf>
    <xf numFmtId="165" fontId="11" fillId="0" borderId="0" xfId="5" applyNumberFormat="1" applyFont="1" applyFill="1"/>
    <xf numFmtId="168" fontId="11" fillId="0" borderId="0" xfId="5" applyNumberFormat="1" applyFont="1" applyFill="1"/>
    <xf numFmtId="3" fontId="11" fillId="0" borderId="0" xfId="5" applyNumberFormat="1" applyFont="1" applyFill="1"/>
    <xf numFmtId="165" fontId="2" fillId="0" borderId="0" xfId="0" applyNumberFormat="1" applyFont="1" applyFill="1"/>
    <xf numFmtId="176" fontId="2" fillId="0" borderId="0" xfId="0" applyNumberFormat="1" applyFont="1" applyAlignment="1">
      <alignment horizontal="right"/>
    </xf>
    <xf numFmtId="175" fontId="2" fillId="0" borderId="2" xfId="6" applyNumberFormat="1" applyFont="1" applyFill="1" applyBorder="1"/>
    <xf numFmtId="175" fontId="2" fillId="0" borderId="0" xfId="6" applyNumberFormat="1" applyFont="1" applyFill="1" applyBorder="1"/>
    <xf numFmtId="175" fontId="2" fillId="0" borderId="1" xfId="6" applyNumberFormat="1" applyFont="1" applyFill="1" applyBorder="1"/>
    <xf numFmtId="0" fontId="6" fillId="0" borderId="0" xfId="0" applyFont="1" applyAlignment="1">
      <alignment horizontal="right"/>
    </xf>
    <xf numFmtId="0" fontId="24" fillId="0" borderId="0" xfId="0" applyFont="1" applyAlignment="1">
      <alignment horizontal="center"/>
    </xf>
    <xf numFmtId="1" fontId="2" fillId="0" borderId="1" xfId="0" applyNumberFormat="1" applyFont="1" applyFill="1" applyBorder="1" applyAlignment="1">
      <alignment horizontal="center"/>
    </xf>
    <xf numFmtId="0" fontId="1" fillId="0" borderId="0" xfId="0" applyFont="1" applyAlignment="1">
      <alignment horizontal="center"/>
    </xf>
    <xf numFmtId="168" fontId="11" fillId="0" borderId="0" xfId="4" applyNumberFormat="1" applyFont="1" applyFill="1" applyBorder="1" applyAlignment="1">
      <alignment horizontal="center" vertical="center"/>
    </xf>
    <xf numFmtId="168" fontId="11" fillId="0" borderId="1" xfId="4" applyNumberFormat="1" applyFont="1" applyFill="1" applyBorder="1" applyAlignment="1">
      <alignment horizontal="center" vertical="center"/>
    </xf>
    <xf numFmtId="168" fontId="2" fillId="0" borderId="0" xfId="5" applyNumberFormat="1" applyFont="1" applyFill="1" applyAlignment="1">
      <alignment horizontal="center" vertical="top" wrapText="1"/>
    </xf>
    <xf numFmtId="0" fontId="2" fillId="0" borderId="0" xfId="0" applyFont="1"/>
    <xf numFmtId="0" fontId="2" fillId="0" borderId="0" xfId="3"/>
    <xf numFmtId="0" fontId="2" fillId="0" borderId="0" xfId="1" applyFont="1" applyFill="1" applyAlignment="1">
      <alignment vertical="top" wrapText="1"/>
    </xf>
    <xf numFmtId="0" fontId="17" fillId="0" borderId="0" xfId="0" applyFont="1" applyAlignment="1">
      <alignment vertical="top"/>
    </xf>
    <xf numFmtId="0" fontId="2" fillId="0" borderId="0" xfId="1" applyFont="1" applyFill="1" applyAlignment="1">
      <alignment wrapText="1"/>
    </xf>
    <xf numFmtId="0" fontId="17" fillId="0" borderId="0" xfId="0" applyFont="1" applyAlignment="1"/>
    <xf numFmtId="0" fontId="2" fillId="0" borderId="0" xfId="0" applyFont="1" applyAlignment="1">
      <alignment horizontal="left" vertical="top" wrapText="1"/>
    </xf>
    <xf numFmtId="0" fontId="2" fillId="0" borderId="0" xfId="0" applyFont="1"/>
    <xf numFmtId="0" fontId="2" fillId="0" borderId="0" xfId="1" applyFont="1" applyFill="1" applyAlignment="1">
      <alignment horizontal="left" vertical="top" wrapText="1"/>
    </xf>
    <xf numFmtId="0" fontId="2" fillId="0" borderId="0" xfId="1" applyFont="1" applyFill="1"/>
    <xf numFmtId="0" fontId="2" fillId="0" borderId="0" xfId="0" applyFont="1" applyAlignment="1"/>
    <xf numFmtId="0" fontId="17" fillId="0" borderId="0" xfId="0" applyFont="1" applyAlignment="1">
      <alignment horizontal="left" vertical="top" wrapText="1"/>
    </xf>
    <xf numFmtId="3" fontId="11" fillId="0" borderId="0" xfId="0" applyNumberFormat="1" applyFont="1" applyFill="1"/>
    <xf numFmtId="3" fontId="11" fillId="0" borderId="0" xfId="5" applyNumberFormat="1" applyFont="1"/>
    <xf numFmtId="168" fontId="9" fillId="0" borderId="0" xfId="0" applyNumberFormat="1" applyFont="1" applyFill="1" applyAlignment="1">
      <alignment horizontal="center"/>
    </xf>
    <xf numFmtId="168" fontId="9" fillId="0" borderId="0" xfId="0" applyNumberFormat="1" applyFont="1" applyAlignment="1">
      <alignment horizontal="center"/>
    </xf>
    <xf numFmtId="0" fontId="2" fillId="0" borderId="0" xfId="0" quotePrefix="1" applyFont="1"/>
    <xf numFmtId="175" fontId="9" fillId="0" borderId="0" xfId="6" applyNumberFormat="1" applyFont="1"/>
    <xf numFmtId="0" fontId="2" fillId="0" borderId="0" xfId="1" applyFont="1" applyAlignment="1">
      <alignment wrapText="1"/>
    </xf>
    <xf numFmtId="0" fontId="2" fillId="0" borderId="0" xfId="1" applyFont="1" applyFill="1" applyAlignment="1">
      <alignment vertical="top" wrapText="1"/>
    </xf>
    <xf numFmtId="0" fontId="17" fillId="0" borderId="0" xfId="0" applyFont="1" applyAlignment="1">
      <alignment vertical="top"/>
    </xf>
    <xf numFmtId="0" fontId="2" fillId="0" borderId="0" xfId="1" applyFont="1" applyFill="1" applyAlignment="1">
      <alignment wrapText="1"/>
    </xf>
    <xf numFmtId="0" fontId="17" fillId="0" borderId="0" xfId="0" applyFont="1" applyAlignment="1"/>
    <xf numFmtId="0" fontId="2" fillId="0" borderId="1" xfId="0" applyFont="1" applyBorder="1" applyAlignment="1">
      <alignment horizontal="center"/>
    </xf>
    <xf numFmtId="0" fontId="0" fillId="0" borderId="1" xfId="0" applyBorder="1"/>
    <xf numFmtId="0" fontId="4" fillId="0" borderId="0" xfId="0" applyFont="1"/>
    <xf numFmtId="0" fontId="2" fillId="0" borderId="0" xfId="0" applyFont="1" applyAlignment="1">
      <alignment horizontal="left" vertical="top" wrapText="1"/>
    </xf>
    <xf numFmtId="0" fontId="2" fillId="0" borderId="0" xfId="0" applyFont="1"/>
    <xf numFmtId="0" fontId="2" fillId="0" borderId="0" xfId="1" applyAlignment="1">
      <alignment horizontal="left" vertical="top" wrapText="1"/>
    </xf>
    <xf numFmtId="0" fontId="2" fillId="0" borderId="0" xfId="1" applyFont="1" applyFill="1" applyAlignment="1">
      <alignment horizontal="left" vertical="top" wrapText="1"/>
    </xf>
    <xf numFmtId="0" fontId="3" fillId="0" borderId="0" xfId="1" applyFont="1" applyFill="1" applyAlignment="1">
      <alignment horizontal="center" wrapText="1"/>
    </xf>
    <xf numFmtId="0" fontId="12" fillId="0" borderId="0" xfId="0" applyFont="1" applyFill="1" applyBorder="1" applyAlignment="1">
      <alignment horizontal="center"/>
    </xf>
    <xf numFmtId="0" fontId="2" fillId="0" borderId="0" xfId="1" applyFont="1" applyFill="1"/>
    <xf numFmtId="0" fontId="2" fillId="0" borderId="1" xfId="0" applyFont="1" applyFill="1" applyBorder="1" applyAlignment="1">
      <alignment horizontal="center"/>
    </xf>
    <xf numFmtId="0" fontId="2" fillId="0" borderId="0" xfId="0" applyFont="1" applyFill="1" applyAlignment="1">
      <alignment horizontal="left" vertical="top" wrapText="1"/>
    </xf>
    <xf numFmtId="0" fontId="3" fillId="0" borderId="1" xfId="0" applyFont="1" applyFill="1" applyBorder="1" applyAlignment="1">
      <alignment horizontal="center"/>
    </xf>
    <xf numFmtId="0" fontId="2" fillId="0" borderId="8" xfId="0" applyFont="1" applyFill="1" applyBorder="1" applyAlignment="1">
      <alignment horizontal="center"/>
    </xf>
    <xf numFmtId="0" fontId="2" fillId="0" borderId="15" xfId="0" applyFont="1" applyBorder="1" applyAlignment="1">
      <alignment horizontal="center"/>
    </xf>
    <xf numFmtId="0" fontId="17" fillId="0" borderId="8" xfId="0" applyFont="1" applyBorder="1" applyAlignment="1">
      <alignment horizontal="center"/>
    </xf>
    <xf numFmtId="0" fontId="17" fillId="0" borderId="16" xfId="0" applyFont="1" applyBorder="1" applyAlignment="1">
      <alignment horizontal="center"/>
    </xf>
    <xf numFmtId="164" fontId="3" fillId="0" borderId="0" xfId="0" applyNumberFormat="1" applyFont="1" applyAlignment="1">
      <alignment horizontal="center"/>
    </xf>
    <xf numFmtId="0" fontId="2" fillId="0" borderId="0" xfId="0" applyFont="1" applyAlignment="1">
      <alignment horizontal="left" wrapText="1"/>
    </xf>
    <xf numFmtId="0" fontId="3" fillId="0" borderId="0" xfId="0" applyFont="1" applyFill="1" applyAlignment="1">
      <alignment horizontal="center"/>
    </xf>
    <xf numFmtId="0" fontId="2"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wrapText="1"/>
    </xf>
    <xf numFmtId="2" fontId="2" fillId="0" borderId="0" xfId="0" applyNumberFormat="1" applyFont="1" applyAlignment="1">
      <alignment wrapText="1"/>
    </xf>
    <xf numFmtId="0" fontId="2" fillId="0" borderId="1" xfId="3" applyFont="1" applyBorder="1" applyAlignment="1">
      <alignment horizontal="center"/>
    </xf>
    <xf numFmtId="0" fontId="2" fillId="0" borderId="0" xfId="3" applyFont="1" applyAlignment="1">
      <alignment horizontal="center"/>
    </xf>
    <xf numFmtId="4" fontId="12" fillId="0" borderId="15" xfId="0" applyNumberFormat="1" applyFont="1" applyFill="1" applyBorder="1" applyAlignment="1">
      <alignment horizontal="center"/>
    </xf>
    <xf numFmtId="0" fontId="0" fillId="0" borderId="8" xfId="0" applyFill="1" applyBorder="1" applyAlignment="1">
      <alignment horizontal="center"/>
    </xf>
    <xf numFmtId="0" fontId="0" fillId="0" borderId="16" xfId="0" applyFill="1" applyBorder="1" applyAlignment="1">
      <alignment horizontal="center"/>
    </xf>
    <xf numFmtId="0" fontId="17" fillId="0" borderId="0" xfId="0" applyFont="1"/>
    <xf numFmtId="0" fontId="2" fillId="0" borderId="0" xfId="0" applyFont="1" applyAlignment="1" applyProtection="1">
      <alignment vertical="top" wrapText="1"/>
      <protection locked="0" hidden="1"/>
    </xf>
    <xf numFmtId="0" fontId="17" fillId="0" borderId="0" xfId="0" applyFont="1" applyAlignment="1">
      <alignment horizontal="left" vertical="top" wrapText="1"/>
    </xf>
  </cellXfs>
  <cellStyles count="11">
    <cellStyle name="Comma" xfId="6" builtinId="3"/>
    <cellStyle name="Comma 2" xfId="9" xr:uid="{00000000-0005-0000-0000-000001000000}"/>
    <cellStyle name="Normal" xfId="0" builtinId="0"/>
    <cellStyle name="Normal 2" xfId="1" xr:uid="{00000000-0005-0000-0000-000003000000}"/>
    <cellStyle name="Normal 3" xfId="2" xr:uid="{00000000-0005-0000-0000-000004000000}"/>
    <cellStyle name="Normal 3 2" xfId="10" xr:uid="{00000000-0005-0000-0000-000005000000}"/>
    <cellStyle name="Normal 5" xfId="3" xr:uid="{00000000-0005-0000-0000-000006000000}"/>
    <cellStyle name="Normal 5 2" xfId="7" xr:uid="{00000000-0005-0000-0000-000007000000}"/>
    <cellStyle name="Percent" xfId="4" builtinId="5"/>
    <cellStyle name="Percent 2 2" xfId="5" xr:uid="{00000000-0005-0000-0000-000009000000}"/>
    <cellStyle name="Percent 3"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13</xdr:col>
      <xdr:colOff>104775</xdr:colOff>
      <xdr:row>19</xdr:row>
      <xdr:rowOff>0</xdr:rowOff>
    </xdr:from>
    <xdr:to>
      <xdr:col>14</xdr:col>
      <xdr:colOff>333375</xdr:colOff>
      <xdr:row>19</xdr:row>
      <xdr:rowOff>0</xdr:rowOff>
    </xdr:to>
    <xdr:sp macro="" textlink="">
      <xdr:nvSpPr>
        <xdr:cNvPr id="4" name="Text Box 14">
          <a:extLst>
            <a:ext uri="{FF2B5EF4-FFF2-40B4-BE49-F238E27FC236}">
              <a16:creationId xmlns:a16="http://schemas.microsoft.com/office/drawing/2014/main" id="{00000000-0008-0000-2000-000004000000}"/>
            </a:ext>
          </a:extLst>
        </xdr:cNvPr>
        <xdr:cNvSpPr txBox="1">
          <a:spLocks noChangeArrowheads="1"/>
        </xdr:cNvSpPr>
      </xdr:nvSpPr>
      <xdr:spPr bwMode="auto">
        <a:xfrm>
          <a:off x="6124575" y="375285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45"/>
  <sheetViews>
    <sheetView tabSelected="1" zoomScaleNormal="100" workbookViewId="0"/>
  </sheetViews>
  <sheetFormatPr defaultColWidth="9.140625" defaultRowHeight="12.75"/>
  <cols>
    <col min="1" max="1" width="8" style="108" customWidth="1"/>
    <col min="2" max="3" width="14" style="108" customWidth="1"/>
    <col min="4" max="4" width="12.7109375" style="108" bestFit="1" customWidth="1"/>
    <col min="5" max="5" width="13.85546875" style="108" customWidth="1"/>
    <col min="6" max="7" width="12.7109375" style="108" bestFit="1" customWidth="1"/>
    <col min="8" max="8" width="14.140625" style="108" customWidth="1"/>
    <col min="9" max="9" width="6.7109375" style="108" customWidth="1"/>
    <col min="10" max="16384" width="9.140625" style="108"/>
  </cols>
  <sheetData>
    <row r="1" spans="1:9" ht="18" customHeight="1">
      <c r="A1" s="278" t="s">
        <v>0</v>
      </c>
      <c r="B1" s="278"/>
      <c r="C1" s="278"/>
      <c r="D1" s="278"/>
      <c r="E1" s="278"/>
      <c r="F1" s="278"/>
      <c r="G1" s="278"/>
      <c r="H1" s="278"/>
      <c r="I1" s="278"/>
    </row>
    <row r="2" spans="1:9" ht="18" customHeight="1">
      <c r="A2" s="278" t="s">
        <v>490</v>
      </c>
      <c r="B2" s="278"/>
      <c r="C2" s="278"/>
      <c r="D2" s="278"/>
      <c r="E2" s="278"/>
      <c r="F2" s="278"/>
      <c r="G2" s="278"/>
      <c r="H2" s="278"/>
      <c r="I2" s="278"/>
    </row>
    <row r="3" spans="1:9" ht="18" customHeight="1">
      <c r="A3" s="1"/>
      <c r="B3" s="1"/>
      <c r="C3" s="1"/>
      <c r="D3" s="1"/>
      <c r="E3" s="1"/>
      <c r="F3" s="1"/>
      <c r="G3" s="1"/>
      <c r="H3" s="1"/>
      <c r="I3" s="2"/>
    </row>
    <row r="4" spans="1:9" ht="18" customHeight="1">
      <c r="A4" s="3"/>
      <c r="B4" s="1" t="s">
        <v>1</v>
      </c>
      <c r="C4" s="1" t="s">
        <v>2</v>
      </c>
      <c r="D4" s="1" t="s">
        <v>3</v>
      </c>
      <c r="E4" s="1" t="s">
        <v>4</v>
      </c>
      <c r="F4" s="1" t="s">
        <v>5</v>
      </c>
      <c r="G4" s="1"/>
      <c r="H4" s="1" t="s">
        <v>6</v>
      </c>
      <c r="I4" s="105" t="s">
        <v>7</v>
      </c>
    </row>
    <row r="5" spans="1:9" ht="15" customHeight="1">
      <c r="A5" s="19" t="s">
        <v>8</v>
      </c>
      <c r="B5" s="19" t="s">
        <v>9</v>
      </c>
      <c r="C5" s="19" t="s">
        <v>3</v>
      </c>
      <c r="D5" s="19" t="s">
        <v>10</v>
      </c>
      <c r="E5" s="222" t="s">
        <v>314</v>
      </c>
      <c r="F5" s="19" t="s">
        <v>10</v>
      </c>
      <c r="G5" s="19" t="s">
        <v>15</v>
      </c>
      <c r="H5" s="19" t="s">
        <v>16</v>
      </c>
      <c r="I5" s="106" t="s">
        <v>11</v>
      </c>
    </row>
    <row r="6" spans="1:9" ht="16.149999999999999" customHeight="1">
      <c r="A6" s="117">
        <f>A7-1</f>
        <v>1987</v>
      </c>
      <c r="B6" s="367">
        <v>4373802923</v>
      </c>
      <c r="C6" s="367">
        <v>1508064385</v>
      </c>
      <c r="D6" s="366">
        <v>7031832</v>
      </c>
      <c r="E6" s="366">
        <v>1341299653</v>
      </c>
      <c r="F6" s="366">
        <v>38169956</v>
      </c>
      <c r="G6" s="366">
        <v>59898596</v>
      </c>
      <c r="H6" s="366">
        <v>2954464422</v>
      </c>
      <c r="I6" s="105">
        <f t="shared" ref="I6" si="0">+H6/B6</f>
        <v>0.67549097982072015</v>
      </c>
    </row>
    <row r="7" spans="1:9" ht="15" customHeight="1">
      <c r="A7" s="117">
        <f t="shared" ref="A7:A39" si="1">A8-1</f>
        <v>1988</v>
      </c>
      <c r="B7" s="366">
        <v>5172689663</v>
      </c>
      <c r="C7" s="366">
        <v>1705476929</v>
      </c>
      <c r="D7" s="366">
        <v>6227038</v>
      </c>
      <c r="E7" s="366">
        <v>1549492899</v>
      </c>
      <c r="F7" s="366">
        <v>28220627</v>
      </c>
      <c r="G7" s="366">
        <v>37476147</v>
      </c>
      <c r="H7" s="366">
        <v>3326893640</v>
      </c>
      <c r="I7" s="105">
        <f t="shared" ref="I7:I40" si="2">+H7/B7</f>
        <v>0.6431651339528659</v>
      </c>
    </row>
    <row r="8" spans="1:9" ht="15" customHeight="1">
      <c r="A8" s="117">
        <f t="shared" si="1"/>
        <v>1989</v>
      </c>
      <c r="B8" s="366">
        <v>5675354099</v>
      </c>
      <c r="C8" s="366">
        <v>1942359934</v>
      </c>
      <c r="D8" s="366">
        <v>5547934</v>
      </c>
      <c r="E8" s="366">
        <v>1809541474</v>
      </c>
      <c r="F8" s="366">
        <v>38117280</v>
      </c>
      <c r="G8" s="366">
        <v>44729504</v>
      </c>
      <c r="H8" s="366">
        <v>3840296126</v>
      </c>
      <c r="I8" s="105">
        <f t="shared" si="2"/>
        <v>0.6766619419705745</v>
      </c>
    </row>
    <row r="9" spans="1:9" ht="16.149999999999999" customHeight="1">
      <c r="A9" s="117">
        <f t="shared" si="1"/>
        <v>1990</v>
      </c>
      <c r="B9" s="366">
        <v>5704833514</v>
      </c>
      <c r="C9" s="366">
        <v>2263720229</v>
      </c>
      <c r="D9" s="366">
        <v>5609177</v>
      </c>
      <c r="E9" s="366">
        <v>2055601198</v>
      </c>
      <c r="F9" s="366">
        <v>31816418</v>
      </c>
      <c r="G9" s="366">
        <v>60322670</v>
      </c>
      <c r="H9" s="366">
        <v>4417069692</v>
      </c>
      <c r="I9" s="105">
        <f t="shared" si="2"/>
        <v>0.7742679398373763</v>
      </c>
    </row>
    <row r="10" spans="1:9" ht="16.149999999999999" customHeight="1">
      <c r="A10" s="117">
        <f t="shared" si="1"/>
        <v>1991</v>
      </c>
      <c r="B10" s="366">
        <v>5866830467</v>
      </c>
      <c r="C10" s="366">
        <v>2484746761</v>
      </c>
      <c r="D10" s="366">
        <v>13493313</v>
      </c>
      <c r="E10" s="366">
        <v>2211959611</v>
      </c>
      <c r="F10" s="366">
        <v>40280405</v>
      </c>
      <c r="G10" s="366">
        <v>59659632</v>
      </c>
      <c r="H10" s="366">
        <v>4810139722</v>
      </c>
      <c r="I10" s="105">
        <f t="shared" si="2"/>
        <v>0.81988728821401613</v>
      </c>
    </row>
    <row r="11" spans="1:9" ht="16.149999999999999" customHeight="1">
      <c r="A11" s="117">
        <f t="shared" si="1"/>
        <v>1992</v>
      </c>
      <c r="B11" s="367">
        <v>5685646721</v>
      </c>
      <c r="C11" s="367">
        <v>1982068875</v>
      </c>
      <c r="D11" s="366">
        <v>12914163</v>
      </c>
      <c r="E11" s="366">
        <v>1774780609</v>
      </c>
      <c r="F11" s="366">
        <v>38542891</v>
      </c>
      <c r="G11" s="366">
        <v>54516243</v>
      </c>
      <c r="H11" s="366">
        <v>3862822781</v>
      </c>
      <c r="I11" s="105">
        <f t="shared" si="2"/>
        <v>0.67939901484427812</v>
      </c>
    </row>
    <row r="12" spans="1:9" ht="16.149999999999999" customHeight="1">
      <c r="A12" s="117">
        <f t="shared" si="1"/>
        <v>1993</v>
      </c>
      <c r="B12" s="366">
        <v>5935051898</v>
      </c>
      <c r="C12" s="366">
        <v>1697388675</v>
      </c>
      <c r="D12" s="366">
        <v>12045365</v>
      </c>
      <c r="E12" s="366">
        <v>1523632332</v>
      </c>
      <c r="F12" s="366">
        <v>47262812</v>
      </c>
      <c r="G12" s="366">
        <v>54043724</v>
      </c>
      <c r="H12" s="366">
        <v>3334372908</v>
      </c>
      <c r="I12" s="105">
        <f t="shared" si="2"/>
        <v>0.56181023608632985</v>
      </c>
    </row>
    <row r="13" spans="1:9" ht="16.149999999999999" customHeight="1">
      <c r="A13" s="117">
        <f t="shared" si="1"/>
        <v>1994</v>
      </c>
      <c r="B13" s="366">
        <v>5031286773</v>
      </c>
      <c r="C13" s="366">
        <v>1633621744</v>
      </c>
      <c r="D13" s="366">
        <v>17128729</v>
      </c>
      <c r="E13" s="366">
        <v>1479365087</v>
      </c>
      <c r="F13" s="366">
        <v>68107434</v>
      </c>
      <c r="G13" s="366">
        <v>37709247</v>
      </c>
      <c r="H13" s="366">
        <v>3235932241</v>
      </c>
      <c r="I13" s="105">
        <f t="shared" si="2"/>
        <v>0.64316195577747082</v>
      </c>
    </row>
    <row r="14" spans="1:9" ht="16.149999999999999" customHeight="1">
      <c r="A14" s="117">
        <f t="shared" si="1"/>
        <v>1995</v>
      </c>
      <c r="B14" s="366">
        <v>3789372110</v>
      </c>
      <c r="C14" s="366">
        <v>1771255867</v>
      </c>
      <c r="D14" s="366">
        <v>21546846</v>
      </c>
      <c r="E14" s="366">
        <v>1641864781</v>
      </c>
      <c r="F14" s="366">
        <v>75967415</v>
      </c>
      <c r="G14" s="366">
        <v>41852012</v>
      </c>
      <c r="H14" s="366">
        <v>3552486921</v>
      </c>
      <c r="I14" s="105">
        <f t="shared" si="2"/>
        <v>0.9374869550617978</v>
      </c>
    </row>
    <row r="15" spans="1:9" ht="16.149999999999999" customHeight="1">
      <c r="A15" s="117">
        <f t="shared" si="1"/>
        <v>1996</v>
      </c>
      <c r="B15" s="366">
        <v>3746680214</v>
      </c>
      <c r="C15" s="366">
        <v>1965227669</v>
      </c>
      <c r="D15" s="366">
        <v>27458791</v>
      </c>
      <c r="E15" s="366">
        <v>1735175311</v>
      </c>
      <c r="F15" s="366">
        <v>71058684</v>
      </c>
      <c r="G15" s="366">
        <v>57297958</v>
      </c>
      <c r="H15" s="366">
        <v>3856218413</v>
      </c>
      <c r="I15" s="105">
        <f t="shared" si="2"/>
        <v>1.0292360683974828</v>
      </c>
    </row>
    <row r="16" spans="1:9" ht="16.149999999999999" customHeight="1">
      <c r="A16" s="117">
        <f t="shared" si="1"/>
        <v>1997</v>
      </c>
      <c r="B16" s="366">
        <v>3926898608</v>
      </c>
      <c r="C16" s="366">
        <v>2331095572</v>
      </c>
      <c r="D16" s="366">
        <v>29209170</v>
      </c>
      <c r="E16" s="366">
        <v>2038056783</v>
      </c>
      <c r="F16" s="366">
        <v>94857396</v>
      </c>
      <c r="G16" s="366">
        <v>98871654</v>
      </c>
      <c r="H16" s="366">
        <v>4592090575</v>
      </c>
      <c r="I16" s="105">
        <f t="shared" si="2"/>
        <v>1.1693937209493646</v>
      </c>
    </row>
    <row r="17" spans="1:9" ht="16.149999999999999" customHeight="1">
      <c r="A17" s="117">
        <f t="shared" si="1"/>
        <v>1998</v>
      </c>
      <c r="B17" s="366">
        <v>4332127034</v>
      </c>
      <c r="C17" s="366">
        <v>2788433263</v>
      </c>
      <c r="D17" s="366">
        <v>41777756</v>
      </c>
      <c r="E17" s="366">
        <v>2679133490</v>
      </c>
      <c r="F17" s="366">
        <v>181525063</v>
      </c>
      <c r="G17" s="366">
        <v>162342474</v>
      </c>
      <c r="H17" s="366">
        <v>5853212046</v>
      </c>
      <c r="I17" s="105">
        <f t="shared" si="2"/>
        <v>1.3511173610704417</v>
      </c>
    </row>
    <row r="18" spans="1:9" ht="16.149999999999999" customHeight="1">
      <c r="A18" s="117">
        <f t="shared" si="1"/>
        <v>1999</v>
      </c>
      <c r="B18" s="366">
        <v>4550437880</v>
      </c>
      <c r="C18" s="366">
        <v>3069296922</v>
      </c>
      <c r="D18" s="366">
        <v>39727633</v>
      </c>
      <c r="E18" s="366">
        <v>3073599872</v>
      </c>
      <c r="F18" s="366">
        <v>130339307</v>
      </c>
      <c r="G18" s="366">
        <v>234239881</v>
      </c>
      <c r="H18" s="366">
        <v>6547203615</v>
      </c>
      <c r="I18" s="105">
        <f t="shared" si="2"/>
        <v>1.4388073824227219</v>
      </c>
    </row>
    <row r="19" spans="1:9" ht="16.149999999999999" customHeight="1">
      <c r="A19" s="117">
        <f t="shared" si="1"/>
        <v>2000</v>
      </c>
      <c r="B19" s="366">
        <v>5920961162</v>
      </c>
      <c r="C19" s="366">
        <v>3445330141</v>
      </c>
      <c r="D19" s="366">
        <v>53569340</v>
      </c>
      <c r="E19" s="366">
        <v>3603083406</v>
      </c>
      <c r="F19" s="366">
        <v>159615901</v>
      </c>
      <c r="G19" s="366">
        <v>377791899</v>
      </c>
      <c r="H19" s="366">
        <v>7639390687</v>
      </c>
      <c r="I19" s="105">
        <f t="shared" si="2"/>
        <v>1.2902281366121213</v>
      </c>
    </row>
    <row r="20" spans="1:9" ht="16.149999999999999" customHeight="1">
      <c r="A20" s="117">
        <f t="shared" si="1"/>
        <v>2001</v>
      </c>
      <c r="B20" s="366">
        <v>10108322683</v>
      </c>
      <c r="C20" s="366">
        <v>4869964526</v>
      </c>
      <c r="D20" s="366">
        <v>75910407</v>
      </c>
      <c r="E20" s="366">
        <v>5433625138</v>
      </c>
      <c r="F20" s="366">
        <v>265450546</v>
      </c>
      <c r="G20" s="366">
        <v>602322921</v>
      </c>
      <c r="H20" s="366">
        <v>11247273538</v>
      </c>
      <c r="I20" s="105">
        <f t="shared" si="2"/>
        <v>1.1126745643879639</v>
      </c>
    </row>
    <row r="21" spans="1:9" ht="16.149999999999999" customHeight="1">
      <c r="A21" s="117">
        <f t="shared" si="1"/>
        <v>2002</v>
      </c>
      <c r="B21" s="366">
        <v>13426805168</v>
      </c>
      <c r="C21" s="366">
        <v>4802062085</v>
      </c>
      <c r="D21" s="366">
        <v>72834012</v>
      </c>
      <c r="E21" s="366">
        <v>5557107781</v>
      </c>
      <c r="F21" s="366">
        <v>238166774</v>
      </c>
      <c r="G21" s="366">
        <v>854375923</v>
      </c>
      <c r="H21" s="366">
        <v>11524546575</v>
      </c>
      <c r="I21" s="105">
        <f t="shared" si="2"/>
        <v>0.85832381052689743</v>
      </c>
    </row>
    <row r="22" spans="1:9" ht="16.149999999999999" customHeight="1">
      <c r="A22" s="117">
        <f t="shared" si="1"/>
        <v>2003</v>
      </c>
      <c r="B22" s="366">
        <v>19469632328</v>
      </c>
      <c r="C22" s="366">
        <v>4599498681</v>
      </c>
      <c r="D22" s="366">
        <v>110284931</v>
      </c>
      <c r="E22" s="366">
        <v>5146188453</v>
      </c>
      <c r="F22" s="366">
        <v>251423714</v>
      </c>
      <c r="G22" s="366">
        <v>1221743257</v>
      </c>
      <c r="H22" s="366">
        <v>11329139036</v>
      </c>
      <c r="I22" s="105">
        <f t="shared" si="2"/>
        <v>0.58188767230633032</v>
      </c>
    </row>
    <row r="23" spans="1:9" ht="16.149999999999999" customHeight="1">
      <c r="A23" s="117">
        <f t="shared" si="1"/>
        <v>2004</v>
      </c>
      <c r="B23" s="366">
        <v>23087556493</v>
      </c>
      <c r="C23" s="366">
        <v>3243098822</v>
      </c>
      <c r="D23" s="366">
        <v>97835495</v>
      </c>
      <c r="E23" s="366">
        <v>4118396077</v>
      </c>
      <c r="F23" s="366">
        <v>209600672</v>
      </c>
      <c r="G23" s="366">
        <v>1341234298</v>
      </c>
      <c r="H23" s="366">
        <v>9010165364</v>
      </c>
      <c r="I23" s="105">
        <f t="shared" si="2"/>
        <v>0.39026067426112526</v>
      </c>
    </row>
    <row r="24" spans="1:9" ht="16.149999999999999" customHeight="1">
      <c r="A24" s="117">
        <f t="shared" si="1"/>
        <v>2005</v>
      </c>
      <c r="B24" s="366">
        <v>21384168532</v>
      </c>
      <c r="C24" s="366">
        <v>2565423205</v>
      </c>
      <c r="D24" s="366">
        <v>83747973</v>
      </c>
      <c r="E24" s="366">
        <v>3718139510</v>
      </c>
      <c r="F24" s="366">
        <v>193668303</v>
      </c>
      <c r="G24" s="366">
        <v>1077505700</v>
      </c>
      <c r="H24" s="366">
        <v>7638484691</v>
      </c>
      <c r="I24" s="105">
        <f t="shared" si="2"/>
        <v>0.35720279138136751</v>
      </c>
    </row>
    <row r="25" spans="1:9" ht="16.149999999999999" customHeight="1">
      <c r="A25" s="117">
        <f t="shared" si="1"/>
        <v>2006</v>
      </c>
      <c r="B25" s="366">
        <v>17221671307</v>
      </c>
      <c r="C25" s="366">
        <v>2655242076</v>
      </c>
      <c r="D25" s="366">
        <v>88394734</v>
      </c>
      <c r="E25" s="366">
        <v>3829677407</v>
      </c>
      <c r="F25" s="366">
        <v>225017911</v>
      </c>
      <c r="G25" s="366">
        <v>717769165</v>
      </c>
      <c r="H25" s="366">
        <v>7516101293</v>
      </c>
      <c r="I25" s="105">
        <f t="shared" si="2"/>
        <v>0.43643274563862861</v>
      </c>
    </row>
    <row r="26" spans="1:9" ht="16.149999999999999" customHeight="1">
      <c r="A26" s="117">
        <f t="shared" si="1"/>
        <v>2007</v>
      </c>
      <c r="B26" s="366">
        <v>13260139026</v>
      </c>
      <c r="C26" s="366">
        <v>2805720358</v>
      </c>
      <c r="D26" s="366">
        <v>98548621</v>
      </c>
      <c r="E26" s="366">
        <v>4105527185</v>
      </c>
      <c r="F26" s="366">
        <v>242697036</v>
      </c>
      <c r="G26" s="366">
        <v>688901941</v>
      </c>
      <c r="H26" s="366">
        <v>7941395141</v>
      </c>
      <c r="I26" s="105">
        <f t="shared" si="2"/>
        <v>0.59889229859723192</v>
      </c>
    </row>
    <row r="27" spans="1:9" ht="16.149999999999999" customHeight="1">
      <c r="A27" s="117">
        <f t="shared" si="1"/>
        <v>2008</v>
      </c>
      <c r="B27" s="366">
        <v>10744447308</v>
      </c>
      <c r="C27" s="366">
        <v>2850840127</v>
      </c>
      <c r="D27" s="366">
        <v>120736343</v>
      </c>
      <c r="E27" s="366">
        <v>4094997821</v>
      </c>
      <c r="F27" s="366">
        <v>257523885</v>
      </c>
      <c r="G27" s="366">
        <v>438443329</v>
      </c>
      <c r="H27" s="366">
        <v>7762541505</v>
      </c>
      <c r="I27" s="105">
        <f t="shared" si="2"/>
        <v>0.72247006127716218</v>
      </c>
    </row>
    <row r="28" spans="1:9" ht="16.149999999999999" customHeight="1">
      <c r="A28" s="117">
        <f t="shared" si="1"/>
        <v>2009</v>
      </c>
      <c r="B28" s="366">
        <v>8873155994</v>
      </c>
      <c r="C28" s="366">
        <v>2730618621</v>
      </c>
      <c r="D28" s="366">
        <v>118292417</v>
      </c>
      <c r="E28" s="366">
        <v>3911898876</v>
      </c>
      <c r="F28" s="366">
        <v>270951507</v>
      </c>
      <c r="G28" s="366">
        <v>557575105</v>
      </c>
      <c r="H28" s="366">
        <v>7589336526</v>
      </c>
      <c r="I28" s="105">
        <f t="shared" si="2"/>
        <v>0.85531422316162198</v>
      </c>
    </row>
    <row r="29" spans="1:9" ht="16.149999999999999" customHeight="1">
      <c r="A29" s="171">
        <f t="shared" si="1"/>
        <v>2010</v>
      </c>
      <c r="B29" s="368">
        <v>9374814819</v>
      </c>
      <c r="C29" s="368">
        <v>2749336679</v>
      </c>
      <c r="D29" s="368">
        <v>108966382</v>
      </c>
      <c r="E29" s="369">
        <v>4018257176</v>
      </c>
      <c r="F29" s="368">
        <v>216196407</v>
      </c>
      <c r="G29" s="368">
        <v>491363589</v>
      </c>
      <c r="H29" s="370">
        <v>7584120233</v>
      </c>
      <c r="I29" s="107">
        <f t="shared" si="2"/>
        <v>0.80898880451795296</v>
      </c>
    </row>
    <row r="30" spans="1:9" ht="16.149999999999999" customHeight="1">
      <c r="A30" s="227">
        <f t="shared" si="1"/>
        <v>2011</v>
      </c>
      <c r="B30" s="371">
        <v>10120427050</v>
      </c>
      <c r="C30" s="371">
        <v>2733929017</v>
      </c>
      <c r="D30" s="371">
        <v>113784721</v>
      </c>
      <c r="E30" s="367">
        <v>3648027898.1428571</v>
      </c>
      <c r="F30" s="371">
        <v>250557374</v>
      </c>
      <c r="G30" s="371">
        <v>619762857</v>
      </c>
      <c r="H30" s="372">
        <v>7366061867.1428566</v>
      </c>
      <c r="I30" s="170">
        <f t="shared" si="2"/>
        <v>0.72784101211844188</v>
      </c>
    </row>
    <row r="31" spans="1:9" ht="16.149999999999999" customHeight="1">
      <c r="A31" s="227">
        <f t="shared" si="1"/>
        <v>2012</v>
      </c>
      <c r="B31" s="371">
        <v>11699330284</v>
      </c>
      <c r="C31" s="371">
        <v>2783353397</v>
      </c>
      <c r="D31" s="371">
        <v>147282653</v>
      </c>
      <c r="E31" s="371">
        <v>3561130116</v>
      </c>
      <c r="F31" s="371">
        <v>285302178</v>
      </c>
      <c r="G31" s="371">
        <v>737430435</v>
      </c>
      <c r="H31" s="372">
        <v>7514498779</v>
      </c>
      <c r="I31" s="170">
        <f t="shared" si="2"/>
        <v>0.64230161868981728</v>
      </c>
    </row>
    <row r="32" spans="1:9" ht="16.149999999999999" customHeight="1">
      <c r="A32" s="227">
        <f t="shared" si="1"/>
        <v>2013</v>
      </c>
      <c r="B32" s="371">
        <v>14161005539</v>
      </c>
      <c r="C32" s="371">
        <v>2829163082</v>
      </c>
      <c r="D32" s="371">
        <v>141155527</v>
      </c>
      <c r="E32" s="371">
        <v>3403537026</v>
      </c>
      <c r="F32" s="371">
        <v>272715680</v>
      </c>
      <c r="G32" s="371">
        <v>1276817068</v>
      </c>
      <c r="H32" s="372">
        <v>7923388383</v>
      </c>
      <c r="I32" s="170">
        <f t="shared" si="2"/>
        <v>0.55952159337687268</v>
      </c>
    </row>
    <row r="33" spans="1:9" ht="16.149999999999999" customHeight="1">
      <c r="A33" s="227">
        <f t="shared" si="1"/>
        <v>2014</v>
      </c>
      <c r="B33" s="371">
        <v>15986106452</v>
      </c>
      <c r="C33" s="371">
        <v>2971478771</v>
      </c>
      <c r="D33" s="371">
        <v>185841960</v>
      </c>
      <c r="E33" s="371">
        <v>3353178980</v>
      </c>
      <c r="F33" s="371">
        <v>322779835</v>
      </c>
      <c r="G33" s="371">
        <v>1666187910</v>
      </c>
      <c r="H33" s="372">
        <v>8499467456</v>
      </c>
      <c r="I33" s="170">
        <f t="shared" si="2"/>
        <v>0.53167839720826104</v>
      </c>
    </row>
    <row r="34" spans="1:9" ht="16.149999999999999" customHeight="1">
      <c r="A34" s="227">
        <f t="shared" si="1"/>
        <v>2015</v>
      </c>
      <c r="B34" s="371">
        <v>17029088080</v>
      </c>
      <c r="C34" s="371">
        <v>3013748524</v>
      </c>
      <c r="D34" s="371">
        <v>237115811</v>
      </c>
      <c r="E34" s="371">
        <v>3262308803</v>
      </c>
      <c r="F34" s="371">
        <v>398478450</v>
      </c>
      <c r="G34" s="371">
        <v>2077362301</v>
      </c>
      <c r="H34" s="372">
        <v>8989013889</v>
      </c>
      <c r="I34" s="170">
        <f t="shared" si="2"/>
        <v>0.52786231692331465</v>
      </c>
    </row>
    <row r="35" spans="1:9" ht="16.149999999999999" customHeight="1">
      <c r="A35" s="117">
        <f t="shared" si="1"/>
        <v>2016</v>
      </c>
      <c r="B35" s="366">
        <v>17919421824</v>
      </c>
      <c r="C35" s="366">
        <v>2888553338</v>
      </c>
      <c r="D35" s="366">
        <v>304106177</v>
      </c>
      <c r="E35" s="366">
        <v>3108226238</v>
      </c>
      <c r="F35" s="366">
        <v>490398009</v>
      </c>
      <c r="G35" s="366">
        <v>2173426562</v>
      </c>
      <c r="H35" s="372">
        <v>8964710324</v>
      </c>
      <c r="I35" s="170">
        <f t="shared" si="2"/>
        <v>0.50027899404618648</v>
      </c>
    </row>
    <row r="36" spans="1:9" ht="16.149999999999999" customHeight="1">
      <c r="A36" s="117">
        <f t="shared" si="1"/>
        <v>2017</v>
      </c>
      <c r="B36" s="366">
        <v>17644730152</v>
      </c>
      <c r="C36" s="366">
        <v>2747485480</v>
      </c>
      <c r="D36" s="366">
        <v>416275043</v>
      </c>
      <c r="E36" s="366">
        <v>2957196271</v>
      </c>
      <c r="F36" s="366">
        <v>647033053</v>
      </c>
      <c r="G36" s="366">
        <v>3234303536</v>
      </c>
      <c r="H36" s="372">
        <v>10002293383</v>
      </c>
      <c r="I36" s="170">
        <f t="shared" si="2"/>
        <v>0.56687142828683368</v>
      </c>
    </row>
    <row r="37" spans="1:9" ht="16.149999999999999" customHeight="1">
      <c r="A37" s="117">
        <f t="shared" si="1"/>
        <v>2018</v>
      </c>
      <c r="B37" s="366">
        <v>17405934213</v>
      </c>
      <c r="C37" s="366">
        <v>2588982622</v>
      </c>
      <c r="D37" s="366">
        <v>605937538</v>
      </c>
      <c r="E37" s="366">
        <v>2869732646</v>
      </c>
      <c r="F37" s="366">
        <v>846165129</v>
      </c>
      <c r="G37" s="366">
        <v>2667590182</v>
      </c>
      <c r="H37" s="373">
        <v>9578408117</v>
      </c>
      <c r="I37" s="8">
        <f t="shared" si="2"/>
        <v>0.55029554862077767</v>
      </c>
    </row>
    <row r="38" spans="1:9" ht="16.149999999999999" customHeight="1">
      <c r="A38" s="117">
        <f t="shared" si="1"/>
        <v>2019</v>
      </c>
      <c r="B38" s="366">
        <v>16120058303</v>
      </c>
      <c r="C38" s="366">
        <v>2249074052</v>
      </c>
      <c r="D38" s="366">
        <v>895118235</v>
      </c>
      <c r="E38" s="366">
        <v>2444133679</v>
      </c>
      <c r="F38" s="366">
        <v>1173804032</v>
      </c>
      <c r="G38" s="366">
        <v>2971373908</v>
      </c>
      <c r="H38" s="373">
        <v>9733503906</v>
      </c>
      <c r="I38" s="8">
        <f t="shared" si="2"/>
        <v>0.60381319490566365</v>
      </c>
    </row>
    <row r="39" spans="1:9" ht="16.149999999999999" customHeight="1">
      <c r="A39" s="117">
        <f t="shared" si="1"/>
        <v>2020</v>
      </c>
      <c r="B39" s="366">
        <v>14065484301</v>
      </c>
      <c r="C39" s="366">
        <v>1342147459</v>
      </c>
      <c r="D39" s="366">
        <v>961418102</v>
      </c>
      <c r="E39" s="366">
        <v>1542299541</v>
      </c>
      <c r="F39" s="366">
        <v>1299848265</v>
      </c>
      <c r="G39" s="366">
        <v>3445774205</v>
      </c>
      <c r="H39" s="373">
        <v>8591487572</v>
      </c>
      <c r="I39" s="8">
        <f t="shared" si="2"/>
        <v>0.61082060085120415</v>
      </c>
    </row>
    <row r="40" spans="1:9" ht="16.149999999999999" customHeight="1">
      <c r="A40" s="117">
        <v>2021</v>
      </c>
      <c r="B40" s="366">
        <v>13515637651.387508</v>
      </c>
      <c r="C40" s="366">
        <v>513715062</v>
      </c>
      <c r="D40" s="366">
        <v>811992612</v>
      </c>
      <c r="E40" s="366">
        <v>680755626</v>
      </c>
      <c r="F40" s="366">
        <v>1445180288</v>
      </c>
      <c r="G40" s="366">
        <v>5026060050</v>
      </c>
      <c r="H40" s="373">
        <v>8477703638</v>
      </c>
      <c r="I40" s="8">
        <f t="shared" si="2"/>
        <v>0.6272514739346895</v>
      </c>
    </row>
    <row r="41" spans="1:9" ht="18" customHeight="1">
      <c r="A41" s="6"/>
      <c r="B41" s="5"/>
      <c r="C41" s="5"/>
      <c r="D41" s="5"/>
      <c r="E41" s="5"/>
      <c r="F41" s="5"/>
      <c r="G41" s="7"/>
      <c r="H41" s="7"/>
      <c r="I41" s="8"/>
    </row>
    <row r="42" spans="1:9" ht="16.149999999999999" customHeight="1">
      <c r="A42" s="9" t="s">
        <v>12</v>
      </c>
      <c r="B42" s="161" t="s">
        <v>286</v>
      </c>
      <c r="C42" s="5"/>
      <c r="D42" s="5"/>
      <c r="E42" s="5"/>
      <c r="F42" s="5"/>
      <c r="G42" s="7"/>
      <c r="H42" s="7"/>
      <c r="I42" s="8"/>
    </row>
    <row r="43" spans="1:9" ht="27" customHeight="1">
      <c r="A43" s="9" t="s">
        <v>13</v>
      </c>
      <c r="B43" s="513" t="s">
        <v>14</v>
      </c>
      <c r="C43" s="513"/>
      <c r="D43" s="513"/>
      <c r="E43" s="513"/>
      <c r="F43" s="513"/>
      <c r="G43" s="513"/>
      <c r="H43" s="513"/>
      <c r="I43" s="513"/>
    </row>
    <row r="44" spans="1:9" ht="18" customHeight="1">
      <c r="A44" s="24"/>
      <c r="B44" s="110"/>
      <c r="C44" s="110"/>
      <c r="D44" s="110"/>
      <c r="E44" s="110"/>
      <c r="F44" s="110"/>
      <c r="G44" s="110"/>
      <c r="H44" s="110"/>
      <c r="I44" s="110"/>
    </row>
    <row r="45" spans="1:9" ht="18" customHeight="1">
      <c r="A45" s="172" t="s">
        <v>291</v>
      </c>
      <c r="B45" s="110" t="s">
        <v>506</v>
      </c>
      <c r="C45" s="110"/>
      <c r="D45" s="110"/>
      <c r="E45" s="110"/>
      <c r="F45" s="110"/>
      <c r="G45" s="110"/>
      <c r="H45" s="110"/>
      <c r="I45" s="110"/>
    </row>
  </sheetData>
  <mergeCells count="1">
    <mergeCell ref="B43:I43"/>
  </mergeCells>
  <pageMargins left="0.5" right="0.5" top="0.75" bottom="0.75" header="0.33" footer="0.33"/>
  <pageSetup scale="88" orientation="portrait" blackAndWhite="1" r:id="rId1"/>
  <headerFooter scaleWithDoc="0">
    <oddHeader>&amp;R&amp;"Arial,Regular"&amp;10Exhibit 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V41"/>
  <sheetViews>
    <sheetView zoomScaleNormal="100" workbookViewId="0"/>
  </sheetViews>
  <sheetFormatPr defaultColWidth="9.140625" defaultRowHeight="12.75"/>
  <cols>
    <col min="1" max="1" width="18.85546875" style="169" customWidth="1"/>
    <col min="2" max="20" width="7.7109375" style="169" customWidth="1"/>
    <col min="21" max="21" width="7.7109375" style="284" customWidth="1"/>
    <col min="22" max="22" width="7.7109375" style="233" customWidth="1"/>
    <col min="23" max="16384" width="9.140625" style="169"/>
  </cols>
  <sheetData>
    <row r="1" spans="1:22" ht="14.45" customHeight="1">
      <c r="A1" s="243" t="str">
        <f>"Selected Indemnity Development Factors - Paid to Ultimate"</f>
        <v>Selected Indemnity Development Factors - Paid to Ultimate</v>
      </c>
      <c r="B1" s="243"/>
      <c r="C1" s="243"/>
      <c r="D1" s="243"/>
      <c r="E1" s="243"/>
      <c r="F1" s="243"/>
      <c r="G1" s="243"/>
      <c r="H1" s="243"/>
      <c r="I1" s="243"/>
      <c r="J1" s="243"/>
      <c r="K1" s="243"/>
      <c r="L1" s="243"/>
      <c r="M1" s="243"/>
      <c r="N1" s="243"/>
      <c r="O1" s="243"/>
      <c r="P1" s="243"/>
      <c r="Q1" s="243"/>
      <c r="R1" s="243"/>
      <c r="S1" s="243"/>
      <c r="T1" s="243"/>
      <c r="U1" s="243"/>
      <c r="V1" s="243"/>
    </row>
    <row r="2" spans="1:22">
      <c r="A2" s="218"/>
      <c r="B2" s="218"/>
      <c r="C2" s="218"/>
      <c r="D2" s="218"/>
      <c r="E2" s="218"/>
      <c r="F2" s="218"/>
      <c r="G2" s="218"/>
      <c r="H2" s="218"/>
      <c r="I2" s="218"/>
      <c r="J2" s="218"/>
      <c r="K2" s="218"/>
      <c r="L2" s="218"/>
      <c r="M2" s="218"/>
      <c r="N2" s="218"/>
      <c r="O2" s="218"/>
      <c r="P2" s="218"/>
      <c r="Q2" s="218"/>
      <c r="R2" s="218"/>
      <c r="S2" s="218"/>
      <c r="T2" s="44"/>
      <c r="U2" s="44"/>
      <c r="V2" s="44"/>
    </row>
    <row r="3" spans="1:22" ht="14.45" customHeight="1">
      <c r="A3" s="218"/>
      <c r="B3" s="246" t="s">
        <v>18</v>
      </c>
      <c r="C3" s="246"/>
      <c r="D3" s="246"/>
      <c r="E3" s="246"/>
      <c r="F3" s="246"/>
      <c r="G3" s="246"/>
      <c r="H3" s="246"/>
      <c r="I3" s="246"/>
      <c r="J3" s="246"/>
      <c r="K3" s="246"/>
      <c r="L3" s="246"/>
      <c r="M3" s="246"/>
      <c r="N3" s="246"/>
      <c r="O3" s="246"/>
      <c r="P3" s="246"/>
      <c r="Q3" s="246"/>
      <c r="R3" s="246"/>
      <c r="S3" s="246"/>
      <c r="T3" s="246"/>
      <c r="U3" s="246"/>
      <c r="V3" s="246"/>
    </row>
    <row r="4" spans="1:22">
      <c r="A4" s="19" t="s">
        <v>19</v>
      </c>
      <c r="B4" s="19" t="s">
        <v>445</v>
      </c>
      <c r="C4" s="19" t="s">
        <v>446</v>
      </c>
      <c r="D4" s="19" t="s">
        <v>447</v>
      </c>
      <c r="E4" s="19" t="s">
        <v>448</v>
      </c>
      <c r="F4" s="19" t="s">
        <v>449</v>
      </c>
      <c r="G4" s="19" t="s">
        <v>450</v>
      </c>
      <c r="H4" s="19" t="s">
        <v>451</v>
      </c>
      <c r="I4" s="19" t="s">
        <v>452</v>
      </c>
      <c r="J4" s="19" t="s">
        <v>453</v>
      </c>
      <c r="K4" s="19" t="s">
        <v>454</v>
      </c>
      <c r="L4" s="19" t="s">
        <v>455</v>
      </c>
      <c r="M4" s="19" t="s">
        <v>456</v>
      </c>
      <c r="N4" s="19" t="s">
        <v>457</v>
      </c>
      <c r="O4" s="19" t="s">
        <v>458</v>
      </c>
      <c r="P4" s="19" t="s">
        <v>459</v>
      </c>
      <c r="Q4" s="19" t="s">
        <v>460</v>
      </c>
      <c r="R4" s="19" t="s">
        <v>461</v>
      </c>
      <c r="S4" s="19" t="s">
        <v>462</v>
      </c>
      <c r="T4" s="19" t="s">
        <v>463</v>
      </c>
      <c r="U4" s="19" t="s">
        <v>464</v>
      </c>
      <c r="V4" s="19" t="s">
        <v>465</v>
      </c>
    </row>
    <row r="5" spans="1:22" s="204" customFormat="1">
      <c r="A5" s="1">
        <f t="shared" ref="A5:A29" si="0">+A6-1</f>
        <v>1995</v>
      </c>
      <c r="B5" s="21" t="s">
        <v>34</v>
      </c>
      <c r="C5" s="21" t="s">
        <v>34</v>
      </c>
      <c r="D5" s="21" t="s">
        <v>34</v>
      </c>
      <c r="E5" s="21" t="s">
        <v>34</v>
      </c>
      <c r="F5" s="21" t="s">
        <v>34</v>
      </c>
      <c r="G5" s="21" t="s">
        <v>34</v>
      </c>
      <c r="H5" s="21" t="s">
        <v>34</v>
      </c>
      <c r="I5" s="21" t="s">
        <v>34</v>
      </c>
      <c r="J5" s="21" t="s">
        <v>34</v>
      </c>
      <c r="K5" s="21" t="s">
        <v>34</v>
      </c>
      <c r="L5" s="21" t="s">
        <v>34</v>
      </c>
      <c r="M5" s="21" t="s">
        <v>34</v>
      </c>
      <c r="N5" s="21">
        <v>1.0069999999999999</v>
      </c>
      <c r="O5" s="21">
        <v>1.0049999999999999</v>
      </c>
      <c r="P5" s="21">
        <v>1.0049999999999999</v>
      </c>
      <c r="Q5" s="21">
        <v>1.0029999999999999</v>
      </c>
      <c r="R5" s="21">
        <v>1.0049999999999999</v>
      </c>
      <c r="S5" s="21">
        <v>1.0049999999999999</v>
      </c>
      <c r="T5" s="21">
        <v>1.0029999999999999</v>
      </c>
      <c r="U5" s="21">
        <v>1.0029999999999999</v>
      </c>
      <c r="V5" s="21">
        <v>1.002</v>
      </c>
    </row>
    <row r="6" spans="1:22" s="204" customFormat="1">
      <c r="A6" s="1">
        <f t="shared" si="0"/>
        <v>1996</v>
      </c>
      <c r="B6" s="21" t="s">
        <v>34</v>
      </c>
      <c r="C6" s="21" t="s">
        <v>34</v>
      </c>
      <c r="D6" s="21" t="s">
        <v>34</v>
      </c>
      <c r="E6" s="21" t="s">
        <v>34</v>
      </c>
      <c r="F6" s="21" t="s">
        <v>34</v>
      </c>
      <c r="G6" s="21" t="s">
        <v>34</v>
      </c>
      <c r="H6" s="21" t="s">
        <v>34</v>
      </c>
      <c r="I6" s="21" t="s">
        <v>34</v>
      </c>
      <c r="J6" s="21" t="s">
        <v>34</v>
      </c>
      <c r="K6" s="21" t="s">
        <v>34</v>
      </c>
      <c r="L6" s="21" t="s">
        <v>34</v>
      </c>
      <c r="M6" s="21">
        <v>1.0089999999999999</v>
      </c>
      <c r="N6" s="21">
        <v>1.006</v>
      </c>
      <c r="O6" s="21">
        <v>1.006</v>
      </c>
      <c r="P6" s="21">
        <v>1.004</v>
      </c>
      <c r="Q6" s="21">
        <v>1.004</v>
      </c>
      <c r="R6" s="21">
        <v>1.0049999999999999</v>
      </c>
      <c r="S6" s="21">
        <v>1.004</v>
      </c>
      <c r="T6" s="21">
        <v>1.0029999999999999</v>
      </c>
      <c r="U6" s="21">
        <v>1.0029999999999999</v>
      </c>
      <c r="V6" s="21">
        <v>1.002</v>
      </c>
    </row>
    <row r="7" spans="1:22">
      <c r="A7" s="1">
        <f t="shared" si="0"/>
        <v>1997</v>
      </c>
      <c r="B7" s="21" t="s">
        <v>34</v>
      </c>
      <c r="C7" s="21" t="s">
        <v>34</v>
      </c>
      <c r="D7" s="21" t="s">
        <v>34</v>
      </c>
      <c r="E7" s="21" t="s">
        <v>34</v>
      </c>
      <c r="F7" s="21" t="s">
        <v>34</v>
      </c>
      <c r="G7" s="21" t="s">
        <v>34</v>
      </c>
      <c r="H7" s="21" t="s">
        <v>34</v>
      </c>
      <c r="I7" s="21" t="s">
        <v>34</v>
      </c>
      <c r="J7" s="21" t="s">
        <v>34</v>
      </c>
      <c r="K7" s="21" t="s">
        <v>34</v>
      </c>
      <c r="L7" s="21">
        <v>1.012</v>
      </c>
      <c r="M7" s="21">
        <v>1.008</v>
      </c>
      <c r="N7" s="21">
        <v>1.0069999999999999</v>
      </c>
      <c r="O7" s="21">
        <v>1.006</v>
      </c>
      <c r="P7" s="21">
        <v>1.006</v>
      </c>
      <c r="Q7" s="21">
        <v>1.0049999999999999</v>
      </c>
      <c r="R7" s="21">
        <v>1.004</v>
      </c>
      <c r="S7" s="21">
        <v>1.0029999999999999</v>
      </c>
      <c r="T7" s="21">
        <v>1.0029999999999999</v>
      </c>
      <c r="U7" s="21">
        <v>1.002</v>
      </c>
      <c r="V7" s="21">
        <v>1.0029999999999999</v>
      </c>
    </row>
    <row r="8" spans="1:22">
      <c r="A8" s="1">
        <f t="shared" si="0"/>
        <v>1998</v>
      </c>
      <c r="B8" s="21" t="s">
        <v>34</v>
      </c>
      <c r="C8" s="21" t="s">
        <v>34</v>
      </c>
      <c r="D8" s="21" t="s">
        <v>34</v>
      </c>
      <c r="E8" s="21" t="s">
        <v>34</v>
      </c>
      <c r="F8" s="21" t="s">
        <v>34</v>
      </c>
      <c r="G8" s="21" t="s">
        <v>34</v>
      </c>
      <c r="H8" s="21" t="s">
        <v>34</v>
      </c>
      <c r="I8" s="21" t="s">
        <v>34</v>
      </c>
      <c r="J8" s="21" t="s">
        <v>34</v>
      </c>
      <c r="K8" s="21">
        <v>1.0149999999999999</v>
      </c>
      <c r="L8" s="21">
        <v>1.012</v>
      </c>
      <c r="M8" s="21">
        <v>1.0089999999999999</v>
      </c>
      <c r="N8" s="21">
        <v>1.0089999999999999</v>
      </c>
      <c r="O8" s="21">
        <v>1.0069999999999999</v>
      </c>
      <c r="P8" s="21">
        <v>1.006</v>
      </c>
      <c r="Q8" s="21">
        <v>1.006</v>
      </c>
      <c r="R8" s="21">
        <v>1.006</v>
      </c>
      <c r="S8" s="21">
        <v>1.004</v>
      </c>
      <c r="T8" s="21">
        <v>1.0029999999999999</v>
      </c>
      <c r="U8" s="21">
        <v>1.0029999999999999</v>
      </c>
      <c r="V8" s="21">
        <v>1.0029999999999999</v>
      </c>
    </row>
    <row r="9" spans="1:22">
      <c r="A9" s="1">
        <f t="shared" si="0"/>
        <v>1999</v>
      </c>
      <c r="B9" s="21" t="s">
        <v>34</v>
      </c>
      <c r="C9" s="21" t="s">
        <v>34</v>
      </c>
      <c r="D9" s="21" t="s">
        <v>34</v>
      </c>
      <c r="E9" s="21" t="s">
        <v>34</v>
      </c>
      <c r="F9" s="21" t="s">
        <v>34</v>
      </c>
      <c r="G9" s="21" t="s">
        <v>34</v>
      </c>
      <c r="H9" s="21" t="s">
        <v>34</v>
      </c>
      <c r="I9" s="21" t="s">
        <v>34</v>
      </c>
      <c r="J9" s="21">
        <v>1.018</v>
      </c>
      <c r="K9" s="21">
        <v>1.0149999999999999</v>
      </c>
      <c r="L9" s="21">
        <v>1.0109999999999999</v>
      </c>
      <c r="M9" s="21">
        <v>1.0089999999999999</v>
      </c>
      <c r="N9" s="21">
        <v>1.008</v>
      </c>
      <c r="O9" s="21">
        <v>1.0069999999999999</v>
      </c>
      <c r="P9" s="21">
        <v>1.006</v>
      </c>
      <c r="Q9" s="21">
        <v>1.004</v>
      </c>
      <c r="R9" s="21">
        <v>1.004</v>
      </c>
      <c r="S9" s="21">
        <v>1.0029999999999999</v>
      </c>
      <c r="T9" s="21">
        <v>1.0029999999999999</v>
      </c>
      <c r="U9" s="21">
        <v>1.0029999999999999</v>
      </c>
      <c r="V9" s="21">
        <v>1.002</v>
      </c>
    </row>
    <row r="10" spans="1:22">
      <c r="A10" s="1">
        <f t="shared" si="0"/>
        <v>2000</v>
      </c>
      <c r="B10" s="21" t="s">
        <v>34</v>
      </c>
      <c r="C10" s="21" t="s">
        <v>34</v>
      </c>
      <c r="D10" s="21" t="s">
        <v>34</v>
      </c>
      <c r="E10" s="21" t="s">
        <v>34</v>
      </c>
      <c r="F10" s="21" t="s">
        <v>34</v>
      </c>
      <c r="G10" s="21" t="s">
        <v>34</v>
      </c>
      <c r="H10" s="21" t="s">
        <v>34</v>
      </c>
      <c r="I10" s="21">
        <v>1.0249999999999999</v>
      </c>
      <c r="J10" s="21">
        <v>1.016</v>
      </c>
      <c r="K10" s="21">
        <v>1.0129999999999999</v>
      </c>
      <c r="L10" s="21">
        <v>1.01</v>
      </c>
      <c r="M10" s="21">
        <v>1.0089999999999999</v>
      </c>
      <c r="N10" s="21">
        <v>1.008</v>
      </c>
      <c r="O10" s="21">
        <v>1.0069999999999999</v>
      </c>
      <c r="P10" s="21">
        <v>1.0049999999999999</v>
      </c>
      <c r="Q10" s="21">
        <v>1.004</v>
      </c>
      <c r="R10" s="21">
        <v>1.004</v>
      </c>
      <c r="S10" s="21">
        <v>1.004</v>
      </c>
      <c r="T10" s="21">
        <v>1.0029999999999999</v>
      </c>
      <c r="U10" s="21">
        <v>1.002</v>
      </c>
      <c r="V10" s="21">
        <v>1.002</v>
      </c>
    </row>
    <row r="11" spans="1:22">
      <c r="A11" s="1">
        <f t="shared" si="0"/>
        <v>2001</v>
      </c>
      <c r="B11" s="21" t="s">
        <v>34</v>
      </c>
      <c r="C11" s="21" t="s">
        <v>34</v>
      </c>
      <c r="D11" s="21" t="s">
        <v>34</v>
      </c>
      <c r="E11" s="21" t="s">
        <v>34</v>
      </c>
      <c r="F11" s="21" t="s">
        <v>34</v>
      </c>
      <c r="G11" s="21" t="s">
        <v>34</v>
      </c>
      <c r="H11" s="21">
        <v>1.034</v>
      </c>
      <c r="I11" s="21">
        <v>1.024</v>
      </c>
      <c r="J11" s="21">
        <v>1.0169999999999999</v>
      </c>
      <c r="K11" s="21">
        <v>1.014</v>
      </c>
      <c r="L11" s="21">
        <v>1.012</v>
      </c>
      <c r="M11" s="21">
        <v>1.0109999999999999</v>
      </c>
      <c r="N11" s="21">
        <v>1.008</v>
      </c>
      <c r="O11" s="21">
        <v>1.0069999999999999</v>
      </c>
      <c r="P11" s="21">
        <v>1.006</v>
      </c>
      <c r="Q11" s="21">
        <v>1.0049999999999999</v>
      </c>
      <c r="R11" s="21">
        <v>1.0049999999999999</v>
      </c>
      <c r="S11" s="21">
        <v>1.0049999999999999</v>
      </c>
      <c r="T11" s="21">
        <v>1.004</v>
      </c>
      <c r="U11" s="21">
        <v>1.0029999999999999</v>
      </c>
      <c r="V11" s="21" t="s">
        <v>34</v>
      </c>
    </row>
    <row r="12" spans="1:22">
      <c r="A12" s="1">
        <f t="shared" si="0"/>
        <v>2002</v>
      </c>
      <c r="B12" s="21" t="s">
        <v>34</v>
      </c>
      <c r="C12" s="21" t="s">
        <v>34</v>
      </c>
      <c r="D12" s="21" t="s">
        <v>34</v>
      </c>
      <c r="E12" s="21" t="s">
        <v>34</v>
      </c>
      <c r="F12" s="21" t="s">
        <v>34</v>
      </c>
      <c r="G12" s="21">
        <v>1.046</v>
      </c>
      <c r="H12" s="21">
        <v>1.0309999999999999</v>
      </c>
      <c r="I12" s="21">
        <v>1.02</v>
      </c>
      <c r="J12" s="21">
        <v>1.018</v>
      </c>
      <c r="K12" s="21">
        <v>1.0149999999999999</v>
      </c>
      <c r="L12" s="21">
        <v>1.014</v>
      </c>
      <c r="M12" s="21">
        <v>1.008</v>
      </c>
      <c r="N12" s="21">
        <v>1.008</v>
      </c>
      <c r="O12" s="21">
        <v>1.006</v>
      </c>
      <c r="P12" s="21">
        <v>1.006</v>
      </c>
      <c r="Q12" s="21">
        <v>1.0049999999999999</v>
      </c>
      <c r="R12" s="21">
        <v>1.004</v>
      </c>
      <c r="S12" s="21">
        <v>1.004</v>
      </c>
      <c r="T12" s="21">
        <v>1.0029999999999999</v>
      </c>
      <c r="U12" s="21" t="s">
        <v>34</v>
      </c>
      <c r="V12" s="21" t="s">
        <v>34</v>
      </c>
    </row>
    <row r="13" spans="1:22">
      <c r="A13" s="1">
        <f t="shared" si="0"/>
        <v>2003</v>
      </c>
      <c r="B13" s="21" t="s">
        <v>34</v>
      </c>
      <c r="C13" s="21" t="s">
        <v>34</v>
      </c>
      <c r="D13" s="21" t="s">
        <v>34</v>
      </c>
      <c r="E13" s="21" t="s">
        <v>34</v>
      </c>
      <c r="F13" s="21">
        <v>1.0720000000000001</v>
      </c>
      <c r="G13" s="21">
        <v>1.0429999999999999</v>
      </c>
      <c r="H13" s="21">
        <v>1.03</v>
      </c>
      <c r="I13" s="21">
        <v>1.026</v>
      </c>
      <c r="J13" s="21">
        <v>1.0229999999999999</v>
      </c>
      <c r="K13" s="21">
        <v>1.0209999999999999</v>
      </c>
      <c r="L13" s="21">
        <v>1.0149999999999999</v>
      </c>
      <c r="M13" s="21">
        <v>1.012</v>
      </c>
      <c r="N13" s="21">
        <v>1.0089999999999999</v>
      </c>
      <c r="O13" s="21">
        <v>1.008</v>
      </c>
      <c r="P13" s="21">
        <v>1.0069999999999999</v>
      </c>
      <c r="Q13" s="21">
        <v>1.0069999999999999</v>
      </c>
      <c r="R13" s="21">
        <v>1.0069999999999999</v>
      </c>
      <c r="S13" s="21">
        <v>1.0049999999999999</v>
      </c>
      <c r="T13" s="21" t="s">
        <v>34</v>
      </c>
      <c r="U13" s="21" t="s">
        <v>34</v>
      </c>
      <c r="V13" s="21" t="s">
        <v>34</v>
      </c>
    </row>
    <row r="14" spans="1:22">
      <c r="A14" s="1">
        <f t="shared" si="0"/>
        <v>2004</v>
      </c>
      <c r="B14" s="21" t="s">
        <v>34</v>
      </c>
      <c r="C14" s="21" t="s">
        <v>34</v>
      </c>
      <c r="D14" s="21" t="s">
        <v>34</v>
      </c>
      <c r="E14" s="21">
        <v>1.1160000000000001</v>
      </c>
      <c r="F14" s="21">
        <v>1.073</v>
      </c>
      <c r="G14" s="21">
        <v>1.0489999999999999</v>
      </c>
      <c r="H14" s="21">
        <v>1.0409999999999999</v>
      </c>
      <c r="I14" s="21">
        <v>1.0349999999999999</v>
      </c>
      <c r="J14" s="21">
        <v>1.03</v>
      </c>
      <c r="K14" s="21">
        <v>1.02</v>
      </c>
      <c r="L14" s="21">
        <v>1.0149999999999999</v>
      </c>
      <c r="M14" s="21">
        <v>1.0109999999999999</v>
      </c>
      <c r="N14" s="21">
        <v>1.0089999999999999</v>
      </c>
      <c r="O14" s="21">
        <v>1.008</v>
      </c>
      <c r="P14" s="21">
        <v>1.0089999999999999</v>
      </c>
      <c r="Q14" s="21">
        <v>1.006</v>
      </c>
      <c r="R14" s="21">
        <v>1.004</v>
      </c>
      <c r="S14" s="21" t="s">
        <v>34</v>
      </c>
      <c r="T14" s="21" t="s">
        <v>34</v>
      </c>
      <c r="U14" s="21" t="s">
        <v>34</v>
      </c>
      <c r="V14" s="21" t="s">
        <v>34</v>
      </c>
    </row>
    <row r="15" spans="1:22">
      <c r="A15" s="1">
        <f t="shared" si="0"/>
        <v>2005</v>
      </c>
      <c r="B15" s="21" t="s">
        <v>34</v>
      </c>
      <c r="C15" s="21" t="s">
        <v>34</v>
      </c>
      <c r="D15" s="21">
        <v>1.2350000000000001</v>
      </c>
      <c r="E15" s="21">
        <v>1.121</v>
      </c>
      <c r="F15" s="21">
        <v>1.079</v>
      </c>
      <c r="G15" s="21">
        <v>1.06</v>
      </c>
      <c r="H15" s="21">
        <v>1.0469999999999999</v>
      </c>
      <c r="I15" s="21">
        <v>1.042</v>
      </c>
      <c r="J15" s="21">
        <v>1.028</v>
      </c>
      <c r="K15" s="21">
        <v>1.02</v>
      </c>
      <c r="L15" s="21">
        <v>1.0149999999999999</v>
      </c>
      <c r="M15" s="21">
        <v>1.0129999999999999</v>
      </c>
      <c r="N15" s="21">
        <v>1.01</v>
      </c>
      <c r="O15" s="21">
        <v>1.01</v>
      </c>
      <c r="P15" s="21">
        <v>1.01</v>
      </c>
      <c r="Q15" s="21">
        <v>1.0049999999999999</v>
      </c>
      <c r="R15" s="21" t="s">
        <v>34</v>
      </c>
      <c r="S15" s="21" t="s">
        <v>34</v>
      </c>
      <c r="T15" s="21" t="s">
        <v>34</v>
      </c>
      <c r="U15" s="21" t="s">
        <v>34</v>
      </c>
      <c r="V15" s="21" t="s">
        <v>34</v>
      </c>
    </row>
    <row r="16" spans="1:22">
      <c r="A16" s="1">
        <f t="shared" si="0"/>
        <v>2006</v>
      </c>
      <c r="B16" s="21" t="s">
        <v>34</v>
      </c>
      <c r="C16" s="21">
        <v>1.5389999999999999</v>
      </c>
      <c r="D16" s="21">
        <v>1.2290000000000001</v>
      </c>
      <c r="E16" s="21">
        <v>1.135</v>
      </c>
      <c r="F16" s="21">
        <v>1.0900000000000001</v>
      </c>
      <c r="G16" s="21">
        <v>1.0680000000000001</v>
      </c>
      <c r="H16" s="21">
        <v>1.05</v>
      </c>
      <c r="I16" s="21">
        <v>1.0349999999999999</v>
      </c>
      <c r="J16" s="21">
        <v>1.026</v>
      </c>
      <c r="K16" s="21">
        <v>1.018</v>
      </c>
      <c r="L16" s="21">
        <v>1.016</v>
      </c>
      <c r="M16" s="21">
        <v>1.012</v>
      </c>
      <c r="N16" s="21">
        <v>1.0109999999999999</v>
      </c>
      <c r="O16" s="21">
        <v>1.0089999999999999</v>
      </c>
      <c r="P16" s="21">
        <v>1.0069999999999999</v>
      </c>
      <c r="Q16" s="21" t="s">
        <v>34</v>
      </c>
      <c r="R16" s="21" t="s">
        <v>34</v>
      </c>
      <c r="S16" s="21" t="s">
        <v>34</v>
      </c>
      <c r="T16" s="21" t="s">
        <v>34</v>
      </c>
      <c r="U16" s="21" t="s">
        <v>34</v>
      </c>
      <c r="V16" s="21" t="s">
        <v>34</v>
      </c>
    </row>
    <row r="17" spans="1:22">
      <c r="A17" s="1">
        <f t="shared" si="0"/>
        <v>2007</v>
      </c>
      <c r="B17" s="21">
        <v>2.9049999999999998</v>
      </c>
      <c r="C17" s="21">
        <v>1.5469999999999999</v>
      </c>
      <c r="D17" s="21">
        <v>1.246</v>
      </c>
      <c r="E17" s="21">
        <v>1.1399999999999999</v>
      </c>
      <c r="F17" s="21">
        <v>1.0920000000000001</v>
      </c>
      <c r="G17" s="21">
        <v>1.0660000000000001</v>
      </c>
      <c r="H17" s="21">
        <v>1.046</v>
      </c>
      <c r="I17" s="21">
        <v>1.0329999999999999</v>
      </c>
      <c r="J17" s="21">
        <v>1.0269999999999999</v>
      </c>
      <c r="K17" s="21">
        <v>1.02</v>
      </c>
      <c r="L17" s="21">
        <v>1.016</v>
      </c>
      <c r="M17" s="21">
        <v>1.0129999999999999</v>
      </c>
      <c r="N17" s="21">
        <v>1.0129999999999999</v>
      </c>
      <c r="O17" s="21">
        <v>1.0069999999999999</v>
      </c>
      <c r="P17" s="21" t="s">
        <v>34</v>
      </c>
      <c r="Q17" s="21" t="s">
        <v>34</v>
      </c>
      <c r="R17" s="21" t="s">
        <v>34</v>
      </c>
      <c r="S17" s="21" t="s">
        <v>34</v>
      </c>
      <c r="T17" s="21" t="s">
        <v>34</v>
      </c>
      <c r="U17" s="21" t="s">
        <v>34</v>
      </c>
      <c r="V17" s="21" t="s">
        <v>34</v>
      </c>
    </row>
    <row r="18" spans="1:22">
      <c r="A18" s="1">
        <f t="shared" si="0"/>
        <v>2008</v>
      </c>
      <c r="B18" s="21">
        <v>2.927</v>
      </c>
      <c r="C18" s="21">
        <v>1.577</v>
      </c>
      <c r="D18" s="21">
        <v>1.2709999999999999</v>
      </c>
      <c r="E18" s="21">
        <v>1.1499999999999999</v>
      </c>
      <c r="F18" s="21">
        <v>1.0920000000000001</v>
      </c>
      <c r="G18" s="21">
        <v>1.06</v>
      </c>
      <c r="H18" s="21">
        <v>1.0409999999999999</v>
      </c>
      <c r="I18" s="21">
        <v>1.0269999999999999</v>
      </c>
      <c r="J18" s="21">
        <v>1.0229999999999999</v>
      </c>
      <c r="K18" s="21">
        <v>1.018</v>
      </c>
      <c r="L18" s="21">
        <v>1.0149999999999999</v>
      </c>
      <c r="M18" s="21">
        <v>1.01</v>
      </c>
      <c r="N18" s="21">
        <v>1.0089999999999999</v>
      </c>
      <c r="O18" s="21" t="s">
        <v>34</v>
      </c>
      <c r="P18" s="21" t="s">
        <v>34</v>
      </c>
      <c r="Q18" s="21" t="s">
        <v>34</v>
      </c>
      <c r="R18" s="21" t="s">
        <v>34</v>
      </c>
      <c r="S18" s="21" t="s">
        <v>34</v>
      </c>
      <c r="T18" s="21" t="s">
        <v>34</v>
      </c>
      <c r="U18" s="21" t="s">
        <v>34</v>
      </c>
      <c r="V18" s="21" t="s">
        <v>34</v>
      </c>
    </row>
    <row r="19" spans="1:22">
      <c r="A19" s="1">
        <f t="shared" si="0"/>
        <v>2009</v>
      </c>
      <c r="B19" s="21">
        <v>3.069</v>
      </c>
      <c r="C19" s="21">
        <v>1.6160000000000001</v>
      </c>
      <c r="D19" s="21">
        <v>1.28</v>
      </c>
      <c r="E19" s="21">
        <v>1.1559999999999999</v>
      </c>
      <c r="F19" s="21">
        <v>1.0920000000000001</v>
      </c>
      <c r="G19" s="21">
        <v>1.0609999999999999</v>
      </c>
      <c r="H19" s="21">
        <v>1.0429999999999999</v>
      </c>
      <c r="I19" s="21">
        <v>1.0309999999999999</v>
      </c>
      <c r="J19" s="21">
        <v>1.0229999999999999</v>
      </c>
      <c r="K19" s="21">
        <v>1.0189999999999999</v>
      </c>
      <c r="L19" s="21">
        <v>1.0109999999999999</v>
      </c>
      <c r="M19" s="21">
        <v>1.0129999999999999</v>
      </c>
      <c r="N19" s="21" t="s">
        <v>34</v>
      </c>
      <c r="O19" s="21" t="s">
        <v>34</v>
      </c>
      <c r="P19" s="21" t="s">
        <v>34</v>
      </c>
      <c r="Q19" s="21" t="s">
        <v>34</v>
      </c>
      <c r="R19" s="21" t="s">
        <v>34</v>
      </c>
      <c r="S19" s="21" t="s">
        <v>34</v>
      </c>
      <c r="T19" s="21" t="s">
        <v>34</v>
      </c>
      <c r="U19" s="21" t="s">
        <v>34</v>
      </c>
      <c r="V19" s="21" t="s">
        <v>34</v>
      </c>
    </row>
    <row r="20" spans="1:22">
      <c r="A20" s="1">
        <f t="shared" si="0"/>
        <v>2010</v>
      </c>
      <c r="B20" s="21">
        <v>3.157</v>
      </c>
      <c r="C20" s="21">
        <v>1.6279999999999999</v>
      </c>
      <c r="D20" s="21">
        <v>1.2809999999999999</v>
      </c>
      <c r="E20" s="21">
        <v>1.147</v>
      </c>
      <c r="F20" s="21">
        <v>1.091</v>
      </c>
      <c r="G20" s="21">
        <v>1.06</v>
      </c>
      <c r="H20" s="21">
        <v>1.038</v>
      </c>
      <c r="I20" s="21">
        <v>1.0269999999999999</v>
      </c>
      <c r="J20" s="21">
        <v>1.0209999999999999</v>
      </c>
      <c r="K20" s="21">
        <v>1.0129999999999999</v>
      </c>
      <c r="L20" s="21">
        <v>1.012</v>
      </c>
      <c r="M20" s="21" t="s">
        <v>34</v>
      </c>
      <c r="N20" s="21" t="s">
        <v>34</v>
      </c>
      <c r="O20" s="21" t="s">
        <v>34</v>
      </c>
      <c r="P20" s="21" t="s">
        <v>34</v>
      </c>
      <c r="Q20" s="21" t="s">
        <v>34</v>
      </c>
      <c r="R20" s="21" t="s">
        <v>34</v>
      </c>
      <c r="S20" s="21" t="s">
        <v>34</v>
      </c>
      <c r="T20" s="21" t="s">
        <v>34</v>
      </c>
      <c r="U20" s="21" t="s">
        <v>34</v>
      </c>
      <c r="V20" s="21" t="s">
        <v>34</v>
      </c>
    </row>
    <row r="21" spans="1:22">
      <c r="A21" s="1">
        <f t="shared" si="0"/>
        <v>2011</v>
      </c>
      <c r="B21" s="21">
        <v>3.2080000000000002</v>
      </c>
      <c r="C21" s="21">
        <v>1.613</v>
      </c>
      <c r="D21" s="21">
        <v>1.266</v>
      </c>
      <c r="E21" s="21">
        <v>1.1439999999999999</v>
      </c>
      <c r="F21" s="21">
        <v>1.087</v>
      </c>
      <c r="G21" s="21">
        <v>1.056</v>
      </c>
      <c r="H21" s="21">
        <v>1.0409999999999999</v>
      </c>
      <c r="I21" s="21">
        <v>1.026</v>
      </c>
      <c r="J21" s="21">
        <v>1.016</v>
      </c>
      <c r="K21" s="21">
        <v>1.016</v>
      </c>
      <c r="L21" s="21" t="s">
        <v>34</v>
      </c>
      <c r="M21" s="21" t="s">
        <v>34</v>
      </c>
      <c r="N21" s="21" t="s">
        <v>34</v>
      </c>
      <c r="O21" s="21" t="s">
        <v>34</v>
      </c>
      <c r="P21" s="21" t="s">
        <v>34</v>
      </c>
      <c r="Q21" s="21" t="s">
        <v>34</v>
      </c>
      <c r="R21" s="21" t="s">
        <v>34</v>
      </c>
      <c r="S21" s="21" t="s">
        <v>34</v>
      </c>
      <c r="T21" s="21" t="s">
        <v>34</v>
      </c>
      <c r="U21" s="21" t="s">
        <v>34</v>
      </c>
      <c r="V21" s="21" t="s">
        <v>34</v>
      </c>
    </row>
    <row r="22" spans="1:22">
      <c r="A22" s="1">
        <f t="shared" si="0"/>
        <v>2012</v>
      </c>
      <c r="B22" s="21">
        <v>3.137</v>
      </c>
      <c r="C22" s="21">
        <v>1.597</v>
      </c>
      <c r="D22" s="21">
        <v>1.262</v>
      </c>
      <c r="E22" s="21">
        <v>1.137</v>
      </c>
      <c r="F22" s="21">
        <v>1.087</v>
      </c>
      <c r="G22" s="21">
        <v>1.0509999999999999</v>
      </c>
      <c r="H22" s="21">
        <v>1.034</v>
      </c>
      <c r="I22" s="21">
        <v>1.0229999999999999</v>
      </c>
      <c r="J22" s="21">
        <v>1.0169999999999999</v>
      </c>
      <c r="K22" s="21" t="s">
        <v>34</v>
      </c>
      <c r="L22" s="21" t="s">
        <v>34</v>
      </c>
      <c r="M22" s="21" t="s">
        <v>34</v>
      </c>
      <c r="N22" s="21" t="s">
        <v>34</v>
      </c>
      <c r="O22" s="21" t="s">
        <v>34</v>
      </c>
      <c r="P22" s="21" t="s">
        <v>34</v>
      </c>
      <c r="Q22" s="21" t="s">
        <v>34</v>
      </c>
      <c r="R22" s="21" t="s">
        <v>34</v>
      </c>
      <c r="S22" s="21" t="s">
        <v>34</v>
      </c>
      <c r="T22" s="21" t="s">
        <v>34</v>
      </c>
      <c r="U22" s="21" t="s">
        <v>34</v>
      </c>
      <c r="V22" s="21" t="s">
        <v>34</v>
      </c>
    </row>
    <row r="23" spans="1:22">
      <c r="A23" s="1">
        <f t="shared" si="0"/>
        <v>2013</v>
      </c>
      <c r="B23" s="21">
        <v>3.169</v>
      </c>
      <c r="C23" s="21">
        <v>1.6060000000000001</v>
      </c>
      <c r="D23" s="21">
        <v>1.26</v>
      </c>
      <c r="E23" s="21">
        <v>1.129</v>
      </c>
      <c r="F23" s="21">
        <v>1.0720000000000001</v>
      </c>
      <c r="G23" s="21">
        <v>1.044</v>
      </c>
      <c r="H23" s="21">
        <v>1.028</v>
      </c>
      <c r="I23" s="21">
        <v>1.02</v>
      </c>
      <c r="J23" s="21" t="s">
        <v>34</v>
      </c>
      <c r="K23" s="21" t="s">
        <v>34</v>
      </c>
      <c r="L23" s="21" t="s">
        <v>34</v>
      </c>
      <c r="M23" s="21" t="s">
        <v>34</v>
      </c>
      <c r="N23" s="21" t="s">
        <v>34</v>
      </c>
      <c r="O23" s="21" t="s">
        <v>34</v>
      </c>
      <c r="P23" s="21" t="s">
        <v>34</v>
      </c>
      <c r="Q23" s="21" t="s">
        <v>34</v>
      </c>
      <c r="R23" s="21" t="s">
        <v>34</v>
      </c>
      <c r="S23" s="21" t="s">
        <v>34</v>
      </c>
      <c r="T23" s="21" t="s">
        <v>34</v>
      </c>
      <c r="U23" s="21" t="s">
        <v>34</v>
      </c>
      <c r="V23" s="21" t="s">
        <v>34</v>
      </c>
    </row>
    <row r="24" spans="1:22">
      <c r="A24" s="1">
        <f t="shared" si="0"/>
        <v>2014</v>
      </c>
      <c r="B24" s="21">
        <v>3.2290000000000001</v>
      </c>
      <c r="C24" s="21">
        <v>1.635</v>
      </c>
      <c r="D24" s="21">
        <v>1.2569999999999999</v>
      </c>
      <c r="E24" s="21">
        <v>1.129</v>
      </c>
      <c r="F24" s="21">
        <v>1.071</v>
      </c>
      <c r="G24" s="21">
        <v>1.0389999999999999</v>
      </c>
      <c r="H24" s="21">
        <v>1.0269999999999999</v>
      </c>
      <c r="I24" s="21" t="s">
        <v>34</v>
      </c>
      <c r="J24" s="21" t="s">
        <v>34</v>
      </c>
      <c r="K24" s="21" t="s">
        <v>34</v>
      </c>
      <c r="L24" s="21" t="s">
        <v>34</v>
      </c>
      <c r="M24" s="21" t="s">
        <v>34</v>
      </c>
      <c r="N24" s="21" t="s">
        <v>34</v>
      </c>
      <c r="O24" s="21" t="s">
        <v>34</v>
      </c>
      <c r="P24" s="21" t="s">
        <v>34</v>
      </c>
      <c r="Q24" s="21" t="s">
        <v>34</v>
      </c>
      <c r="R24" s="21" t="s">
        <v>34</v>
      </c>
      <c r="S24" s="21" t="s">
        <v>34</v>
      </c>
      <c r="T24" s="21" t="s">
        <v>34</v>
      </c>
      <c r="U24" s="21" t="s">
        <v>34</v>
      </c>
      <c r="V24" s="21" t="s">
        <v>34</v>
      </c>
    </row>
    <row r="25" spans="1:22">
      <c r="A25" s="1">
        <f t="shared" si="0"/>
        <v>2015</v>
      </c>
      <c r="B25" s="21">
        <v>3.278</v>
      </c>
      <c r="C25" s="21">
        <v>1.6180000000000001</v>
      </c>
      <c r="D25" s="21">
        <v>1.244</v>
      </c>
      <c r="E25" s="21">
        <v>1.119</v>
      </c>
      <c r="F25" s="21">
        <v>1.0580000000000001</v>
      </c>
      <c r="G25" s="21">
        <v>1.042</v>
      </c>
      <c r="H25" s="21" t="s">
        <v>34</v>
      </c>
      <c r="I25" s="21" t="s">
        <v>34</v>
      </c>
      <c r="J25" s="21" t="s">
        <v>34</v>
      </c>
      <c r="K25" s="21" t="s">
        <v>34</v>
      </c>
      <c r="L25" s="21" t="s">
        <v>34</v>
      </c>
      <c r="M25" s="21" t="s">
        <v>34</v>
      </c>
      <c r="N25" s="21" t="s">
        <v>34</v>
      </c>
      <c r="O25" s="21" t="s">
        <v>34</v>
      </c>
      <c r="P25" s="21" t="s">
        <v>34</v>
      </c>
      <c r="Q25" s="21" t="s">
        <v>34</v>
      </c>
      <c r="R25" s="21" t="s">
        <v>34</v>
      </c>
      <c r="S25" s="21" t="s">
        <v>34</v>
      </c>
      <c r="T25" s="21" t="s">
        <v>34</v>
      </c>
      <c r="U25" s="21" t="s">
        <v>34</v>
      </c>
      <c r="V25" s="21" t="s">
        <v>34</v>
      </c>
    </row>
    <row r="26" spans="1:22">
      <c r="A26" s="1">
        <f t="shared" si="0"/>
        <v>2016</v>
      </c>
      <c r="B26" s="21">
        <v>3.2349999999999999</v>
      </c>
      <c r="C26" s="21">
        <v>1.5860000000000001</v>
      </c>
      <c r="D26" s="21">
        <v>1.23</v>
      </c>
      <c r="E26" s="21">
        <v>1.103</v>
      </c>
      <c r="F26" s="21">
        <v>1.06</v>
      </c>
      <c r="G26" s="21" t="s">
        <v>34</v>
      </c>
      <c r="H26" s="21" t="s">
        <v>34</v>
      </c>
      <c r="I26" s="21" t="s">
        <v>34</v>
      </c>
      <c r="J26" s="21" t="s">
        <v>34</v>
      </c>
      <c r="K26" s="21" t="s">
        <v>34</v>
      </c>
      <c r="L26" s="21" t="s">
        <v>34</v>
      </c>
      <c r="M26" s="21" t="s">
        <v>34</v>
      </c>
      <c r="N26" s="21" t="s">
        <v>34</v>
      </c>
      <c r="O26" s="21" t="s">
        <v>34</v>
      </c>
      <c r="P26" s="21" t="s">
        <v>34</v>
      </c>
      <c r="Q26" s="21" t="s">
        <v>34</v>
      </c>
      <c r="R26" s="21" t="s">
        <v>34</v>
      </c>
      <c r="S26" s="21" t="s">
        <v>34</v>
      </c>
      <c r="T26" s="21" t="s">
        <v>34</v>
      </c>
      <c r="U26" s="21" t="s">
        <v>34</v>
      </c>
      <c r="V26" s="21" t="s">
        <v>34</v>
      </c>
    </row>
    <row r="27" spans="1:22">
      <c r="A27" s="1">
        <f t="shared" si="0"/>
        <v>2017</v>
      </c>
      <c r="B27" s="21">
        <v>3.1850000000000001</v>
      </c>
      <c r="C27" s="21">
        <v>1.569</v>
      </c>
      <c r="D27" s="21">
        <v>1.21</v>
      </c>
      <c r="E27" s="21">
        <v>1.1100000000000001</v>
      </c>
      <c r="F27" s="21" t="s">
        <v>34</v>
      </c>
      <c r="G27" s="21" t="s">
        <v>34</v>
      </c>
      <c r="H27" s="21" t="s">
        <v>34</v>
      </c>
      <c r="I27" s="21" t="s">
        <v>34</v>
      </c>
      <c r="J27" s="21" t="s">
        <v>34</v>
      </c>
      <c r="K27" s="21" t="s">
        <v>34</v>
      </c>
      <c r="L27" s="21" t="s">
        <v>34</v>
      </c>
      <c r="M27" s="21" t="s">
        <v>34</v>
      </c>
      <c r="N27" s="21" t="s">
        <v>34</v>
      </c>
      <c r="O27" s="21" t="s">
        <v>34</v>
      </c>
      <c r="P27" s="21" t="s">
        <v>34</v>
      </c>
      <c r="Q27" s="21" t="s">
        <v>34</v>
      </c>
      <c r="R27" s="21" t="s">
        <v>34</v>
      </c>
      <c r="S27" s="21" t="s">
        <v>34</v>
      </c>
      <c r="T27" s="21" t="s">
        <v>34</v>
      </c>
      <c r="U27" s="21" t="s">
        <v>34</v>
      </c>
      <c r="V27" s="21" t="s">
        <v>34</v>
      </c>
    </row>
    <row r="28" spans="1:22">
      <c r="A28" s="1">
        <f t="shared" si="0"/>
        <v>2018</v>
      </c>
      <c r="B28" s="21">
        <v>3.11</v>
      </c>
      <c r="C28" s="21">
        <v>1.526</v>
      </c>
      <c r="D28" s="21">
        <v>1.222</v>
      </c>
      <c r="E28" s="21" t="s">
        <v>34</v>
      </c>
      <c r="F28" s="21" t="s">
        <v>34</v>
      </c>
      <c r="G28" s="21" t="s">
        <v>34</v>
      </c>
      <c r="H28" s="21" t="s">
        <v>34</v>
      </c>
      <c r="I28" s="21" t="s">
        <v>34</v>
      </c>
      <c r="J28" s="21" t="s">
        <v>34</v>
      </c>
      <c r="K28" s="21" t="s">
        <v>34</v>
      </c>
      <c r="L28" s="21" t="s">
        <v>34</v>
      </c>
      <c r="M28" s="21" t="s">
        <v>34</v>
      </c>
      <c r="N28" s="21" t="s">
        <v>34</v>
      </c>
      <c r="O28" s="21" t="s">
        <v>34</v>
      </c>
      <c r="P28" s="21" t="s">
        <v>34</v>
      </c>
      <c r="Q28" s="21" t="s">
        <v>34</v>
      </c>
      <c r="R28" s="21" t="s">
        <v>34</v>
      </c>
      <c r="S28" s="21" t="s">
        <v>34</v>
      </c>
      <c r="T28" s="21" t="s">
        <v>34</v>
      </c>
      <c r="U28" s="21" t="s">
        <v>34</v>
      </c>
      <c r="V28" s="21" t="s">
        <v>34</v>
      </c>
    </row>
    <row r="29" spans="1:22">
      <c r="A29" s="1">
        <f t="shared" si="0"/>
        <v>2019</v>
      </c>
      <c r="B29" s="21">
        <v>3.0630000000000002</v>
      </c>
      <c r="C29" s="21">
        <v>1.55</v>
      </c>
      <c r="D29" s="21" t="s">
        <v>34</v>
      </c>
      <c r="E29" s="21" t="s">
        <v>34</v>
      </c>
      <c r="F29" s="21" t="s">
        <v>34</v>
      </c>
      <c r="G29" s="21" t="s">
        <v>34</v>
      </c>
      <c r="H29" s="21" t="s">
        <v>34</v>
      </c>
      <c r="I29" s="21" t="s">
        <v>34</v>
      </c>
      <c r="J29" s="21" t="s">
        <v>34</v>
      </c>
      <c r="K29" s="21" t="s">
        <v>34</v>
      </c>
      <c r="L29" s="21" t="s">
        <v>34</v>
      </c>
      <c r="M29" s="21" t="s">
        <v>34</v>
      </c>
      <c r="N29" s="21" t="s">
        <v>34</v>
      </c>
      <c r="O29" s="21" t="s">
        <v>34</v>
      </c>
      <c r="P29" s="21" t="s">
        <v>34</v>
      </c>
      <c r="Q29" s="21" t="s">
        <v>34</v>
      </c>
      <c r="R29" s="21" t="s">
        <v>34</v>
      </c>
      <c r="S29" s="21" t="s">
        <v>34</v>
      </c>
      <c r="T29" s="21" t="s">
        <v>34</v>
      </c>
      <c r="U29" s="21" t="s">
        <v>34</v>
      </c>
      <c r="V29" s="21" t="s">
        <v>34</v>
      </c>
    </row>
    <row r="30" spans="1:22">
      <c r="A30" s="1">
        <f>'Exhibit 2.4.1'!A29</f>
        <v>2020</v>
      </c>
      <c r="B30" s="21">
        <v>2.956</v>
      </c>
      <c r="C30" s="21" t="s">
        <v>34</v>
      </c>
      <c r="D30" s="21" t="s">
        <v>34</v>
      </c>
      <c r="E30" s="21" t="s">
        <v>34</v>
      </c>
      <c r="F30" s="21" t="s">
        <v>34</v>
      </c>
      <c r="G30" s="21" t="s">
        <v>34</v>
      </c>
      <c r="H30" s="21" t="s">
        <v>34</v>
      </c>
      <c r="I30" s="21" t="s">
        <v>34</v>
      </c>
      <c r="J30" s="21" t="s">
        <v>34</v>
      </c>
      <c r="K30" s="21" t="s">
        <v>34</v>
      </c>
      <c r="L30" s="21" t="s">
        <v>34</v>
      </c>
      <c r="M30" s="21" t="s">
        <v>34</v>
      </c>
      <c r="N30" s="21" t="s">
        <v>34</v>
      </c>
      <c r="O30" s="21" t="s">
        <v>34</v>
      </c>
      <c r="P30" s="21" t="s">
        <v>34</v>
      </c>
      <c r="Q30" s="21" t="s">
        <v>34</v>
      </c>
      <c r="R30" s="21" t="s">
        <v>34</v>
      </c>
      <c r="S30" s="21" t="s">
        <v>34</v>
      </c>
      <c r="T30" s="21" t="s">
        <v>34</v>
      </c>
      <c r="U30" s="21" t="s">
        <v>34</v>
      </c>
      <c r="V30" s="21" t="s">
        <v>34</v>
      </c>
    </row>
    <row r="31" spans="1:22">
      <c r="A31" s="17"/>
      <c r="B31" s="17"/>
      <c r="C31" s="17"/>
      <c r="D31" s="17"/>
      <c r="E31" s="17"/>
      <c r="F31" s="17"/>
      <c r="G31" s="17"/>
      <c r="H31" s="17"/>
      <c r="I31" s="17"/>
      <c r="J31" s="17"/>
      <c r="K31" s="17"/>
      <c r="L31" s="17"/>
      <c r="M31" s="17"/>
      <c r="N31" s="17"/>
      <c r="O31" s="17"/>
      <c r="P31" s="17"/>
      <c r="Q31" s="23"/>
      <c r="R31" s="23"/>
      <c r="S31" s="17"/>
      <c r="T31" s="44"/>
      <c r="U31" s="44"/>
      <c r="V31" s="44"/>
    </row>
    <row r="32" spans="1:22">
      <c r="A32" s="1" t="s">
        <v>20</v>
      </c>
      <c r="B32" s="16" t="str">
        <f t="shared" ref="B32:G32" si="1">TEXT(INDEX($B$40:$H$40,MATCH(B$4,$B$41:$H$41,0)),"0.000")&amp;"(b)"</f>
        <v>2.944(b)</v>
      </c>
      <c r="C32" s="16" t="str">
        <f t="shared" si="1"/>
        <v>1.568(b)</v>
      </c>
      <c r="D32" s="16" t="str">
        <f t="shared" si="1"/>
        <v>1.253(b)</v>
      </c>
      <c r="E32" s="16" t="str">
        <f t="shared" si="1"/>
        <v>1.122(b)</v>
      </c>
      <c r="F32" s="16" t="str">
        <f t="shared" si="1"/>
        <v>1.060(b)</v>
      </c>
      <c r="G32" s="16" t="str">
        <f t="shared" si="1"/>
        <v>1.039(b)</v>
      </c>
      <c r="H32" s="16">
        <f ca="1">OFFSET(H$31,-COUNTA($B$4:H$4),0)</f>
        <v>1.0269999999999999</v>
      </c>
      <c r="I32" s="16">
        <f ca="1">OFFSET(I$31,-COUNTA($B$4:I$4),0)</f>
        <v>1.02</v>
      </c>
      <c r="J32" s="16">
        <f ca="1">AVERAGE(OFFSET(J$29:J$31,-COUNTA($B$4:J$4),0))</f>
        <v>1.018</v>
      </c>
      <c r="K32" s="16">
        <f ca="1">AVERAGE(OFFSET(K$29:K$31,-COUNTA($B$4:K$4),0))</f>
        <v>1.016</v>
      </c>
      <c r="L32" s="16">
        <f ca="1">AVERAGE(OFFSET(L$29:L$31,-COUNTA($B$4:L$4),0))</f>
        <v>1.0126666666666666</v>
      </c>
      <c r="M32" s="16">
        <f ca="1">AVERAGE(OFFSET(M$29:M$31,-COUNTA($B$4:M$4),0))</f>
        <v>1.0119999999999998</v>
      </c>
      <c r="N32" s="16">
        <f ca="1">AVERAGE(OFFSET(N$29:N$31,-COUNTA($B$4:N$4),0))</f>
        <v>1.0109999999999999</v>
      </c>
      <c r="O32" s="16">
        <f ca="1">AVERAGE(OFFSET(O$29:O$31,-COUNTA($B$4:O$4),0))</f>
        <v>1.0086666666666666</v>
      </c>
      <c r="P32" s="16">
        <f ca="1">AVERAGE(OFFSET(P$29:P$31,-COUNTA($B$4:P$4),0))</f>
        <v>1.0086666666666666</v>
      </c>
      <c r="Q32" s="16">
        <f ca="1">AVERAGE(OFFSET(Q$29:Q$31,-COUNTA($B$4:Q$4),0))</f>
        <v>1.006</v>
      </c>
      <c r="R32" s="16">
        <f ca="1">AVERAGE(OFFSET(R$29:R$31,-COUNTA($B$4:R$4),0))</f>
        <v>1.0050000000000001</v>
      </c>
      <c r="S32" s="16">
        <f ca="1">AVERAGE(OFFSET(S$29:S$31,-COUNTA($B$4:S$4),0))</f>
        <v>1.0046666666666666</v>
      </c>
      <c r="T32" s="16">
        <f ca="1">AVERAGE(OFFSET(T$29:T$31,-COUNTA($B$4:T$4),0))</f>
        <v>1.0033333333333332</v>
      </c>
      <c r="U32" s="16">
        <f ca="1">AVERAGE(OFFSET(U$29:U$31,-COUNTA($B$4:U$4),0))</f>
        <v>1.0026666666666666</v>
      </c>
      <c r="V32" s="16">
        <f ca="1">AVERAGE(OFFSET(V$29:V$31,-COUNTA($B$4:V$4),0))</f>
        <v>1.0023333333333333</v>
      </c>
    </row>
    <row r="33" spans="1:22">
      <c r="A33" s="1" t="s">
        <v>21</v>
      </c>
      <c r="B33" s="250">
        <f t="shared" ref="B33:G33" ca="1" si="2">INDEX($B$40:$H$40,MATCH(B$4,$B$41:$H$41,0))*C33</f>
        <v>8.5431308447518308</v>
      </c>
      <c r="C33" s="250">
        <f t="shared" ca="1" si="2"/>
        <v>2.9019862290801601</v>
      </c>
      <c r="D33" s="250">
        <f t="shared" ca="1" si="2"/>
        <v>1.8501964654056517</v>
      </c>
      <c r="E33" s="250">
        <f t="shared" ca="1" si="2"/>
        <v>1.4771691480857225</v>
      </c>
      <c r="F33" s="250">
        <f t="shared" ca="1" si="2"/>
        <v>1.3165584833694608</v>
      </c>
      <c r="G33" s="250">
        <f t="shared" ca="1" si="2"/>
        <v>1.2425767866236499</v>
      </c>
      <c r="H33" s="16">
        <f t="shared" ref="H33:U33" ca="1" si="3">H32*I33</f>
        <v>1.1954171073229412</v>
      </c>
      <c r="I33" s="16">
        <f t="shared" ca="1" si="3"/>
        <v>1.1639893936932242</v>
      </c>
      <c r="J33" s="16">
        <f t="shared" ca="1" si="3"/>
        <v>1.1411660722482591</v>
      </c>
      <c r="K33" s="16">
        <f t="shared" ca="1" si="3"/>
        <v>1.1209882831515314</v>
      </c>
      <c r="L33" s="16">
        <f t="shared" ca="1" si="3"/>
        <v>1.1033349243617434</v>
      </c>
      <c r="M33" s="16">
        <f t="shared" ca="1" si="3"/>
        <v>1.0895341583559019</v>
      </c>
      <c r="N33" s="16">
        <f t="shared" ca="1" si="3"/>
        <v>1.0766147809840931</v>
      </c>
      <c r="O33" s="16">
        <f t="shared" ca="1" si="3"/>
        <v>1.0649008713987074</v>
      </c>
      <c r="P33" s="16">
        <f t="shared" ca="1" si="3"/>
        <v>1.0557510291461079</v>
      </c>
      <c r="Q33" s="16">
        <f t="shared" ca="1" si="3"/>
        <v>1.0466798041765777</v>
      </c>
      <c r="R33" s="16">
        <f t="shared" ca="1" si="3"/>
        <v>1.0404371810900375</v>
      </c>
      <c r="S33" s="16">
        <f t="shared" ca="1" si="3"/>
        <v>1.0352608767065048</v>
      </c>
      <c r="T33" s="16">
        <f t="shared" ca="1" si="3"/>
        <v>1.0304521002387241</v>
      </c>
      <c r="U33" s="16">
        <f t="shared" ca="1" si="3"/>
        <v>1.0270286713342767</v>
      </c>
      <c r="V33" s="16">
        <f ca="1">'Exhibit 2.5.2'!B26*'Exhibit 2.5.1'!V32</f>
        <v>1.0242972121020046</v>
      </c>
    </row>
    <row r="34" spans="1:22">
      <c r="A34" s="17"/>
      <c r="B34" s="17"/>
      <c r="C34" s="17"/>
      <c r="D34" s="17"/>
      <c r="E34" s="17"/>
      <c r="F34" s="17"/>
      <c r="G34" s="17"/>
      <c r="H34" s="17"/>
      <c r="I34" s="17"/>
      <c r="J34" s="17"/>
      <c r="K34" s="17"/>
      <c r="L34" s="17"/>
      <c r="M34" s="17"/>
      <c r="N34" s="17"/>
      <c r="O34" s="17"/>
      <c r="P34" s="17"/>
      <c r="Q34" s="17"/>
      <c r="R34" s="17"/>
      <c r="S34" s="17"/>
      <c r="T34" s="44"/>
      <c r="U34" s="44"/>
      <c r="V34" s="44"/>
    </row>
    <row r="35" spans="1:22" ht="12.75" customHeight="1">
      <c r="A35" s="24" t="s">
        <v>22</v>
      </c>
      <c r="B35" s="307" t="s">
        <v>518</v>
      </c>
      <c r="C35" s="307"/>
      <c r="D35" s="307"/>
      <c r="E35" s="307"/>
      <c r="F35" s="307"/>
      <c r="G35" s="307"/>
      <c r="H35" s="307"/>
      <c r="I35" s="307"/>
      <c r="J35" s="307"/>
      <c r="K35" s="307"/>
      <c r="L35" s="307"/>
      <c r="M35" s="307"/>
      <c r="N35" s="307"/>
      <c r="O35" s="307"/>
      <c r="P35" s="307"/>
      <c r="Q35" s="307"/>
      <c r="R35" s="307"/>
      <c r="S35" s="307"/>
      <c r="T35" s="44"/>
      <c r="U35" s="44"/>
      <c r="V35" s="44"/>
    </row>
    <row r="36" spans="1:22" ht="12.75" customHeight="1">
      <c r="A36" s="24" t="s">
        <v>28</v>
      </c>
      <c r="B36" s="307" t="s">
        <v>524</v>
      </c>
      <c r="C36" s="307"/>
      <c r="D36" s="307"/>
      <c r="E36" s="307"/>
      <c r="F36" s="307"/>
      <c r="G36" s="307"/>
      <c r="H36" s="307"/>
      <c r="I36" s="307"/>
      <c r="J36" s="307"/>
      <c r="K36" s="307"/>
      <c r="L36" s="307"/>
      <c r="M36" s="307"/>
      <c r="N36" s="307"/>
      <c r="O36" s="307"/>
      <c r="P36" s="307"/>
      <c r="Q36" s="307"/>
      <c r="R36" s="307"/>
      <c r="S36" s="307"/>
      <c r="T36" s="44"/>
      <c r="U36" s="44"/>
      <c r="V36" s="44"/>
    </row>
    <row r="37" spans="1:22" ht="12.75" customHeight="1">
      <c r="A37" s="24"/>
      <c r="B37" s="44" t="s">
        <v>372</v>
      </c>
      <c r="C37" s="338"/>
      <c r="D37" s="338"/>
      <c r="E37" s="338"/>
      <c r="F37" s="338"/>
      <c r="G37" s="338"/>
      <c r="H37" s="338"/>
      <c r="I37" s="338"/>
      <c r="J37" s="338"/>
      <c r="K37" s="338"/>
      <c r="L37" s="338"/>
      <c r="M37" s="338"/>
      <c r="N37" s="338"/>
      <c r="O37" s="338"/>
      <c r="P37" s="338"/>
      <c r="Q37" s="338"/>
      <c r="R37" s="338"/>
      <c r="S37" s="338"/>
      <c r="T37" s="44"/>
      <c r="U37" s="44"/>
      <c r="V37" s="44"/>
    </row>
    <row r="38" spans="1:22" ht="12.75" customHeight="1">
      <c r="A38" s="44"/>
      <c r="B38" s="44"/>
      <c r="C38" s="16"/>
      <c r="D38" s="44"/>
      <c r="E38" s="44"/>
      <c r="F38" s="44"/>
      <c r="G38" s="44"/>
      <c r="H38" s="44"/>
      <c r="I38" s="44"/>
      <c r="J38" s="44"/>
      <c r="K38" s="44"/>
      <c r="L38" s="44"/>
      <c r="M38" s="44"/>
      <c r="N38" s="44"/>
      <c r="O38" s="44"/>
      <c r="P38" s="44"/>
      <c r="Q38" s="44"/>
      <c r="R38" s="44"/>
      <c r="S38" s="44"/>
      <c r="T38" s="44"/>
      <c r="U38" s="44"/>
      <c r="V38" s="44"/>
    </row>
    <row r="39" spans="1:22">
      <c r="A39" s="44"/>
      <c r="B39" s="16" t="str">
        <f>'Exhibits 2.5.3 - 2.5.8'!D$322</f>
        <v>12-24</v>
      </c>
      <c r="C39" s="16" t="str">
        <f>'Exhibits 2.5.3 - 2.5.8'!E$322</f>
        <v>24-36</v>
      </c>
      <c r="D39" s="16" t="str">
        <f>'Exhibits 2.5.3 - 2.5.8'!F$322</f>
        <v>36-48</v>
      </c>
      <c r="E39" s="16" t="str">
        <f>'Exhibits 2.5.3 - 2.5.8'!G$322</f>
        <v>48-60</v>
      </c>
      <c r="F39" s="16" t="str">
        <f>'Exhibits 2.5.3 - 2.5.8'!H$322</f>
        <v>60-72</v>
      </c>
      <c r="G39" s="16" t="str">
        <f>'Exhibits 2.5.3 - 2.5.8'!I$322</f>
        <v>72-84</v>
      </c>
      <c r="H39" s="16"/>
      <c r="I39" s="16"/>
      <c r="J39" s="16"/>
      <c r="K39" s="16"/>
      <c r="L39" s="16"/>
      <c r="M39" s="16"/>
      <c r="N39" s="16"/>
      <c r="O39" s="16"/>
      <c r="P39" s="16"/>
      <c r="Q39" s="16"/>
      <c r="R39" s="16"/>
      <c r="S39" s="16"/>
      <c r="T39" s="16"/>
      <c r="U39" s="44"/>
      <c r="V39" s="44"/>
    </row>
    <row r="40" spans="1:22">
      <c r="A40" s="335" t="str">
        <f>'Exhibits 2.5.3 - 2.5.8'!C$333</f>
        <v>Latest Year</v>
      </c>
      <c r="B40" s="16">
        <f>'Exhibits 2.5.3 - 2.5.8'!D$333</f>
        <v>2.9438908976007578</v>
      </c>
      <c r="C40" s="16">
        <f>'Exhibits 2.5.3 - 2.5.8'!E$333</f>
        <v>1.5684746367969662</v>
      </c>
      <c r="D40" s="16">
        <f>'Exhibits 2.5.3 - 2.5.8'!F$333</f>
        <v>1.252528505488582</v>
      </c>
      <c r="E40" s="16">
        <f>'Exhibits 2.5.3 - 2.5.8'!G$333</f>
        <v>1.1219928068103833</v>
      </c>
      <c r="F40" s="16">
        <f>'Exhibits 2.5.3 - 2.5.8'!H$333</f>
        <v>1.05953893356308</v>
      </c>
      <c r="G40" s="16">
        <f>'Exhibits 2.5.3 - 2.5.8'!I$333</f>
        <v>1.0394503968629993</v>
      </c>
      <c r="H40" s="16"/>
      <c r="I40" s="16"/>
      <c r="J40" s="16"/>
      <c r="K40" s="44"/>
      <c r="L40" s="44"/>
      <c r="M40" s="44"/>
      <c r="N40" s="44"/>
      <c r="O40" s="44"/>
      <c r="P40" s="44"/>
      <c r="Q40" s="44"/>
      <c r="R40" s="44"/>
      <c r="S40" s="44"/>
      <c r="T40" s="44"/>
      <c r="U40" s="44"/>
      <c r="V40" s="44"/>
    </row>
    <row r="41" spans="1:22">
      <c r="A41" s="44"/>
      <c r="B41" s="44" t="str">
        <f t="shared" ref="B41" si="4">RIGHT(B39,2)&amp;"/"&amp;LEFT(B39,FIND("-",B39)-1)</f>
        <v>24/12</v>
      </c>
      <c r="C41" s="44" t="str">
        <f t="shared" ref="C41:F41" si="5">RIGHT(C39,2)&amp;"/"&amp;LEFT(C39,FIND("-",C39)-1)</f>
        <v>36/24</v>
      </c>
      <c r="D41" s="44" t="str">
        <f t="shared" si="5"/>
        <v>48/36</v>
      </c>
      <c r="E41" s="44" t="str">
        <f t="shared" si="5"/>
        <v>60/48</v>
      </c>
      <c r="F41" s="44" t="str">
        <f t="shared" si="5"/>
        <v>72/60</v>
      </c>
      <c r="G41" s="44" t="str">
        <f t="shared" ref="G41" si="6">RIGHT(G39,2)&amp;"/"&amp;LEFT(G39,FIND("-",G39)-1)</f>
        <v>84/72</v>
      </c>
      <c r="H41" s="44"/>
      <c r="I41" s="44"/>
      <c r="J41" s="44"/>
      <c r="K41" s="44"/>
      <c r="L41" s="44"/>
      <c r="M41" s="44"/>
      <c r="N41" s="44"/>
      <c r="O41" s="44"/>
      <c r="P41" s="44"/>
      <c r="Q41" s="44"/>
      <c r="R41" s="44"/>
      <c r="S41" s="44"/>
      <c r="T41" s="44"/>
      <c r="U41" s="44"/>
      <c r="V41" s="44"/>
    </row>
  </sheetData>
  <pageMargins left="0.7" right="0.7" top="0.75" bottom="0.75" header="0.3" footer="0.3"/>
  <pageSetup scale="67" fitToHeight="0" orientation="landscape" blackAndWhite="1" horizontalDpi="1200" verticalDpi="1200" r:id="rId1"/>
  <headerFooter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30"/>
  <sheetViews>
    <sheetView zoomScaleNormal="100" zoomScaleSheetLayoutView="100" workbookViewId="0"/>
  </sheetViews>
  <sheetFormatPr defaultColWidth="9.140625" defaultRowHeight="12.75"/>
  <cols>
    <col min="1" max="1" width="13.5703125" style="169" bestFit="1" customWidth="1"/>
    <col min="2" max="3" width="8" style="169" customWidth="1"/>
    <col min="4" max="4" width="9.140625" style="169" customWidth="1"/>
    <col min="5" max="13" width="8" style="169" customWidth="1"/>
    <col min="14" max="14" width="8" style="466" customWidth="1"/>
    <col min="15" max="15" width="8" style="502" customWidth="1"/>
    <col min="16" max="16" width="8" style="284" customWidth="1"/>
    <col min="17" max="17" width="14.85546875" style="169" bestFit="1" customWidth="1"/>
    <col min="18" max="16384" width="9.140625" style="169"/>
  </cols>
  <sheetData>
    <row r="1" spans="1:17" ht="12.75" customHeight="1">
      <c r="A1" s="243" t="str">
        <f>+'Exhibit 2.5.1'!A1&amp;" (Continued)"</f>
        <v>Selected Indemnity Development Factors - Paid to Ultimate (Continued)</v>
      </c>
      <c r="B1" s="243"/>
      <c r="C1" s="243"/>
      <c r="D1" s="243"/>
      <c r="E1" s="243"/>
      <c r="F1" s="243"/>
      <c r="G1" s="243"/>
      <c r="H1" s="243"/>
      <c r="I1" s="243"/>
      <c r="J1" s="243"/>
      <c r="K1" s="243"/>
      <c r="L1" s="243"/>
      <c r="M1" s="243"/>
      <c r="N1" s="243"/>
      <c r="O1" s="243"/>
      <c r="P1" s="243"/>
      <c r="Q1" s="243"/>
    </row>
    <row r="2" spans="1:17">
      <c r="A2" s="17"/>
      <c r="B2" s="332"/>
      <c r="C2" s="332"/>
      <c r="D2" s="332"/>
      <c r="E2" s="332"/>
      <c r="F2" s="332"/>
      <c r="G2" s="332"/>
      <c r="H2" s="332"/>
      <c r="I2" s="332"/>
      <c r="J2" s="332"/>
      <c r="K2" s="332"/>
      <c r="L2" s="16"/>
      <c r="M2" s="332"/>
      <c r="N2" s="332"/>
      <c r="O2" s="332"/>
      <c r="P2" s="332"/>
      <c r="Q2" s="332"/>
    </row>
    <row r="3" spans="1:17">
      <c r="A3" s="17"/>
      <c r="B3" s="246" t="s">
        <v>18</v>
      </c>
      <c r="C3" s="246"/>
      <c r="D3" s="246"/>
      <c r="E3" s="246"/>
      <c r="F3" s="246"/>
      <c r="G3" s="246"/>
      <c r="H3" s="246"/>
      <c r="I3" s="246"/>
      <c r="J3" s="246"/>
      <c r="K3" s="246"/>
      <c r="L3" s="246"/>
      <c r="M3" s="246"/>
      <c r="N3" s="246"/>
      <c r="O3" s="246"/>
      <c r="P3" s="246"/>
      <c r="Q3" s="246"/>
    </row>
    <row r="4" spans="1:17">
      <c r="A4" s="19" t="s">
        <v>19</v>
      </c>
      <c r="B4" s="19" t="s">
        <v>466</v>
      </c>
      <c r="C4" s="19" t="s">
        <v>467</v>
      </c>
      <c r="D4" s="19" t="s">
        <v>468</v>
      </c>
      <c r="E4" s="19" t="s">
        <v>469</v>
      </c>
      <c r="F4" s="19" t="s">
        <v>470</v>
      </c>
      <c r="G4" s="19" t="s">
        <v>471</v>
      </c>
      <c r="H4" s="19" t="s">
        <v>472</v>
      </c>
      <c r="I4" s="19" t="s">
        <v>473</v>
      </c>
      <c r="J4" s="19" t="s">
        <v>474</v>
      </c>
      <c r="K4" s="19" t="s">
        <v>475</v>
      </c>
      <c r="L4" s="19" t="s">
        <v>476</v>
      </c>
      <c r="M4" s="19" t="s">
        <v>477</v>
      </c>
      <c r="N4" s="19" t="s">
        <v>478</v>
      </c>
      <c r="O4" s="19" t="s">
        <v>479</v>
      </c>
      <c r="P4" s="19" t="s">
        <v>507</v>
      </c>
      <c r="Q4" s="19" t="s">
        <v>521</v>
      </c>
    </row>
    <row r="5" spans="1:17">
      <c r="A5" s="1">
        <f t="shared" ref="A5:A20" si="0">+A6-1</f>
        <v>1983</v>
      </c>
      <c r="B5" s="21" t="s">
        <v>34</v>
      </c>
      <c r="C5" s="21" t="s">
        <v>34</v>
      </c>
      <c r="D5" s="21" t="s">
        <v>34</v>
      </c>
      <c r="E5" s="21">
        <v>1.0009999999999999</v>
      </c>
      <c r="F5" s="21">
        <v>1.0009999999999999</v>
      </c>
      <c r="G5" s="21">
        <v>1.0009999999999999</v>
      </c>
      <c r="H5" s="21">
        <v>1.0009999999999999</v>
      </c>
      <c r="I5" s="21">
        <v>1.0009999999999999</v>
      </c>
      <c r="J5" s="21">
        <v>1.0009999999999999</v>
      </c>
      <c r="K5" s="21">
        <v>1.0009999999999999</v>
      </c>
      <c r="L5" s="21">
        <v>1.0009999999999999</v>
      </c>
      <c r="M5" s="21">
        <v>1.0009999999999999</v>
      </c>
      <c r="N5" s="21">
        <v>1.0009999999999999</v>
      </c>
      <c r="O5" s="21">
        <v>1.0009999999999999</v>
      </c>
      <c r="P5" s="21">
        <v>1.0009999999999999</v>
      </c>
      <c r="Q5" s="21"/>
    </row>
    <row r="6" spans="1:17" s="502" customFormat="1">
      <c r="A6" s="1">
        <f t="shared" si="0"/>
        <v>1984</v>
      </c>
      <c r="B6" s="21" t="s">
        <v>34</v>
      </c>
      <c r="C6" s="21" t="s">
        <v>34</v>
      </c>
      <c r="D6" s="21">
        <v>1.0009999999999999</v>
      </c>
      <c r="E6" s="21">
        <v>1.0009999999999999</v>
      </c>
      <c r="F6" s="21">
        <v>1.0009999999999999</v>
      </c>
      <c r="G6" s="21">
        <v>1.0009999999999999</v>
      </c>
      <c r="H6" s="21">
        <v>1.0009999999999999</v>
      </c>
      <c r="I6" s="21">
        <v>1.0009999999999999</v>
      </c>
      <c r="J6" s="21">
        <v>1.0009999999999999</v>
      </c>
      <c r="K6" s="21">
        <v>1</v>
      </c>
      <c r="L6" s="21">
        <v>1.0009999999999999</v>
      </c>
      <c r="M6" s="21">
        <v>1</v>
      </c>
      <c r="N6" s="21">
        <v>1.0009999999999999</v>
      </c>
      <c r="O6" s="21">
        <v>1.0009999999999999</v>
      </c>
      <c r="P6" s="21">
        <v>1</v>
      </c>
      <c r="Q6" s="21"/>
    </row>
    <row r="7" spans="1:17" s="466" customFormat="1">
      <c r="A7" s="1">
        <f t="shared" si="0"/>
        <v>1985</v>
      </c>
      <c r="B7" s="21" t="s">
        <v>34</v>
      </c>
      <c r="C7" s="21">
        <v>1.0009999999999999</v>
      </c>
      <c r="D7" s="21">
        <v>1.0009999999999999</v>
      </c>
      <c r="E7" s="21">
        <v>1.0009999999999999</v>
      </c>
      <c r="F7" s="21">
        <v>1.0009999999999999</v>
      </c>
      <c r="G7" s="21">
        <v>1.0009999999999999</v>
      </c>
      <c r="H7" s="21">
        <v>1.002</v>
      </c>
      <c r="I7" s="21">
        <v>1.0009999999999999</v>
      </c>
      <c r="J7" s="21">
        <v>1.0009999999999999</v>
      </c>
      <c r="K7" s="21">
        <v>1.0009999999999999</v>
      </c>
      <c r="L7" s="21">
        <v>1.0009999999999999</v>
      </c>
      <c r="M7" s="21">
        <v>1</v>
      </c>
      <c r="N7" s="21">
        <v>1</v>
      </c>
      <c r="O7" s="21">
        <v>1</v>
      </c>
      <c r="P7" s="21">
        <v>1.0009999999999999</v>
      </c>
      <c r="Q7" s="21"/>
    </row>
    <row r="8" spans="1:17" s="289" customFormat="1">
      <c r="A8" s="1">
        <f t="shared" si="0"/>
        <v>1986</v>
      </c>
      <c r="B8" s="21">
        <v>1.0009999999999999</v>
      </c>
      <c r="C8" s="21">
        <v>1.0009999999999999</v>
      </c>
      <c r="D8" s="21">
        <v>1.0009999999999999</v>
      </c>
      <c r="E8" s="21">
        <v>1.0009999999999999</v>
      </c>
      <c r="F8" s="21">
        <v>1.0009999999999999</v>
      </c>
      <c r="G8" s="21">
        <v>1.0009999999999999</v>
      </c>
      <c r="H8" s="21">
        <v>1.0009999999999999</v>
      </c>
      <c r="I8" s="21">
        <v>1.0009999999999999</v>
      </c>
      <c r="J8" s="21">
        <v>1.0009999999999999</v>
      </c>
      <c r="K8" s="21">
        <v>1.0009999999999999</v>
      </c>
      <c r="L8" s="21">
        <v>1</v>
      </c>
      <c r="M8" s="21">
        <v>1.0009999999999999</v>
      </c>
      <c r="N8" s="21">
        <v>1.0009999999999999</v>
      </c>
      <c r="O8" s="21">
        <v>1</v>
      </c>
      <c r="P8" s="21" t="s">
        <v>34</v>
      </c>
      <c r="Q8" s="21"/>
    </row>
    <row r="9" spans="1:17">
      <c r="A9" s="1">
        <f t="shared" si="0"/>
        <v>1987</v>
      </c>
      <c r="B9" s="21">
        <v>1.0009999999999999</v>
      </c>
      <c r="C9" s="21">
        <v>1.0009999999999999</v>
      </c>
      <c r="D9" s="21">
        <v>1.0009999999999999</v>
      </c>
      <c r="E9" s="21">
        <v>1.002</v>
      </c>
      <c r="F9" s="21">
        <v>1.0009999999999999</v>
      </c>
      <c r="G9" s="21">
        <v>1.0009999999999999</v>
      </c>
      <c r="H9" s="21">
        <v>1.0009999999999999</v>
      </c>
      <c r="I9" s="21">
        <v>1.0009999999999999</v>
      </c>
      <c r="J9" s="21">
        <v>1.0009999999999999</v>
      </c>
      <c r="K9" s="21">
        <v>1.0009999999999999</v>
      </c>
      <c r="L9" s="21">
        <v>1.0009999999999999</v>
      </c>
      <c r="M9" s="21">
        <v>1.0009999999999999</v>
      </c>
      <c r="N9" s="21">
        <v>1</v>
      </c>
      <c r="O9" s="21" t="s">
        <v>34</v>
      </c>
      <c r="P9" s="21" t="s">
        <v>34</v>
      </c>
      <c r="Q9" s="21"/>
    </row>
    <row r="10" spans="1:17">
      <c r="A10" s="1">
        <f t="shared" si="0"/>
        <v>1988</v>
      </c>
      <c r="B10" s="21">
        <v>1.0009999999999999</v>
      </c>
      <c r="C10" s="21">
        <v>1.002</v>
      </c>
      <c r="D10" s="21">
        <v>1.0009999999999999</v>
      </c>
      <c r="E10" s="21">
        <v>1.0009999999999999</v>
      </c>
      <c r="F10" s="21">
        <v>1.0009999999999999</v>
      </c>
      <c r="G10" s="21">
        <v>1.0009999999999999</v>
      </c>
      <c r="H10" s="21">
        <v>1.0009999999999999</v>
      </c>
      <c r="I10" s="21">
        <v>1.0009999999999999</v>
      </c>
      <c r="J10" s="21">
        <v>1.0009999999999999</v>
      </c>
      <c r="K10" s="21">
        <v>1.0009999999999999</v>
      </c>
      <c r="L10" s="21">
        <v>1.0009999999999999</v>
      </c>
      <c r="M10" s="21">
        <v>1.0009999999999999</v>
      </c>
      <c r="N10" s="21" t="s">
        <v>34</v>
      </c>
      <c r="O10" s="21" t="s">
        <v>34</v>
      </c>
      <c r="P10" s="21" t="s">
        <v>34</v>
      </c>
      <c r="Q10" s="21"/>
    </row>
    <row r="11" spans="1:17">
      <c r="A11" s="1">
        <f t="shared" si="0"/>
        <v>1989</v>
      </c>
      <c r="B11" s="21">
        <v>1.0009999999999999</v>
      </c>
      <c r="C11" s="21">
        <v>1.0009999999999999</v>
      </c>
      <c r="D11" s="21">
        <v>1.0009999999999999</v>
      </c>
      <c r="E11" s="21">
        <v>1.0009999999999999</v>
      </c>
      <c r="F11" s="21">
        <v>1.0009999999999999</v>
      </c>
      <c r="G11" s="21">
        <v>1.0009999999999999</v>
      </c>
      <c r="H11" s="21">
        <v>1.0009999999999999</v>
      </c>
      <c r="I11" s="21">
        <v>1.0009999999999999</v>
      </c>
      <c r="J11" s="21">
        <v>1.0009999999999999</v>
      </c>
      <c r="K11" s="21">
        <v>1</v>
      </c>
      <c r="L11" s="21">
        <v>1</v>
      </c>
      <c r="M11" s="21" t="s">
        <v>34</v>
      </c>
      <c r="N11" s="21" t="s">
        <v>34</v>
      </c>
      <c r="O11" s="21" t="s">
        <v>34</v>
      </c>
      <c r="P11" s="21" t="s">
        <v>34</v>
      </c>
      <c r="Q11" s="21"/>
    </row>
    <row r="12" spans="1:17">
      <c r="A12" s="1">
        <f t="shared" si="0"/>
        <v>1990</v>
      </c>
      <c r="B12" s="21">
        <v>1.0009999999999999</v>
      </c>
      <c r="C12" s="21">
        <v>1.0009999999999999</v>
      </c>
      <c r="D12" s="21">
        <v>1.0009999999999999</v>
      </c>
      <c r="E12" s="21">
        <v>1.0009999999999999</v>
      </c>
      <c r="F12" s="21">
        <v>1</v>
      </c>
      <c r="G12" s="21">
        <v>1</v>
      </c>
      <c r="H12" s="21">
        <v>1.0009999999999999</v>
      </c>
      <c r="I12" s="21">
        <v>1.0009999999999999</v>
      </c>
      <c r="J12" s="21">
        <v>1.0009999999999999</v>
      </c>
      <c r="K12" s="21">
        <v>1.0009999999999999</v>
      </c>
      <c r="L12" s="21" t="s">
        <v>34</v>
      </c>
      <c r="M12" s="21" t="s">
        <v>34</v>
      </c>
      <c r="N12" s="21" t="s">
        <v>34</v>
      </c>
      <c r="O12" s="21" t="s">
        <v>34</v>
      </c>
      <c r="P12" s="21" t="s">
        <v>34</v>
      </c>
      <c r="Q12" s="21"/>
    </row>
    <row r="13" spans="1:17">
      <c r="A13" s="1">
        <f t="shared" si="0"/>
        <v>1991</v>
      </c>
      <c r="B13" s="21">
        <v>1.0009999999999999</v>
      </c>
      <c r="C13" s="21">
        <v>1.0009999999999999</v>
      </c>
      <c r="D13" s="21">
        <v>1.0009999999999999</v>
      </c>
      <c r="E13" s="21">
        <v>1.0009999999999999</v>
      </c>
      <c r="F13" s="21">
        <v>1.0009999999999999</v>
      </c>
      <c r="G13" s="21">
        <v>1.0009999999999999</v>
      </c>
      <c r="H13" s="21">
        <v>1.0009999999999999</v>
      </c>
      <c r="I13" s="21">
        <v>1.0009999999999999</v>
      </c>
      <c r="J13" s="21">
        <v>1.0009999999999999</v>
      </c>
      <c r="K13" s="21" t="s">
        <v>34</v>
      </c>
      <c r="L13" s="21" t="s">
        <v>34</v>
      </c>
      <c r="M13" s="21" t="s">
        <v>34</v>
      </c>
      <c r="N13" s="21" t="s">
        <v>34</v>
      </c>
      <c r="O13" s="21" t="s">
        <v>34</v>
      </c>
      <c r="P13" s="21" t="s">
        <v>34</v>
      </c>
      <c r="Q13" s="21"/>
    </row>
    <row r="14" spans="1:17">
      <c r="A14" s="1">
        <f t="shared" si="0"/>
        <v>1992</v>
      </c>
      <c r="B14" s="21">
        <v>1.0009999999999999</v>
      </c>
      <c r="C14" s="21">
        <v>1.0009999999999999</v>
      </c>
      <c r="D14" s="21">
        <v>1.0009999999999999</v>
      </c>
      <c r="E14" s="21">
        <v>1.0009999999999999</v>
      </c>
      <c r="F14" s="21">
        <v>1.0009999999999999</v>
      </c>
      <c r="G14" s="21">
        <v>1.0009999999999999</v>
      </c>
      <c r="H14" s="21">
        <v>1.0009999999999999</v>
      </c>
      <c r="I14" s="21">
        <v>1.0009999999999999</v>
      </c>
      <c r="J14" s="21" t="s">
        <v>34</v>
      </c>
      <c r="K14" s="21" t="s">
        <v>34</v>
      </c>
      <c r="L14" s="21" t="s">
        <v>34</v>
      </c>
      <c r="M14" s="21" t="s">
        <v>34</v>
      </c>
      <c r="N14" s="21" t="s">
        <v>34</v>
      </c>
      <c r="O14" s="21" t="s">
        <v>34</v>
      </c>
      <c r="P14" s="21" t="s">
        <v>34</v>
      </c>
      <c r="Q14" s="21"/>
    </row>
    <row r="15" spans="1:17">
      <c r="A15" s="1">
        <f t="shared" si="0"/>
        <v>1993</v>
      </c>
      <c r="B15" s="21">
        <v>1.0009999999999999</v>
      </c>
      <c r="C15" s="21">
        <v>1.0009999999999999</v>
      </c>
      <c r="D15" s="21">
        <v>1.0009999999999999</v>
      </c>
      <c r="E15" s="21">
        <v>1.0009999999999999</v>
      </c>
      <c r="F15" s="21">
        <v>1.0009999999999999</v>
      </c>
      <c r="G15" s="21">
        <v>1.0009999999999999</v>
      </c>
      <c r="H15" s="21">
        <v>1.0009999999999999</v>
      </c>
      <c r="I15" s="21" t="s">
        <v>34</v>
      </c>
      <c r="J15" s="21" t="s">
        <v>34</v>
      </c>
      <c r="K15" s="21" t="s">
        <v>34</v>
      </c>
      <c r="L15" s="21" t="s">
        <v>34</v>
      </c>
      <c r="M15" s="21" t="s">
        <v>34</v>
      </c>
      <c r="N15" s="21" t="s">
        <v>34</v>
      </c>
      <c r="O15" s="21" t="s">
        <v>34</v>
      </c>
      <c r="P15" s="21" t="s">
        <v>34</v>
      </c>
      <c r="Q15" s="21"/>
    </row>
    <row r="16" spans="1:17">
      <c r="A16" s="1">
        <f t="shared" si="0"/>
        <v>1994</v>
      </c>
      <c r="B16" s="21">
        <v>1.002</v>
      </c>
      <c r="C16" s="21">
        <v>1.002</v>
      </c>
      <c r="D16" s="21">
        <v>1.0009999999999999</v>
      </c>
      <c r="E16" s="21">
        <v>1.0009999999999999</v>
      </c>
      <c r="F16" s="21">
        <v>1.0009999999999999</v>
      </c>
      <c r="G16" s="21">
        <v>1.002</v>
      </c>
      <c r="H16" s="21" t="s">
        <v>34</v>
      </c>
      <c r="I16" s="21" t="s">
        <v>34</v>
      </c>
      <c r="J16" s="21" t="s">
        <v>34</v>
      </c>
      <c r="K16" s="21" t="s">
        <v>34</v>
      </c>
      <c r="L16" s="21" t="s">
        <v>34</v>
      </c>
      <c r="M16" s="21" t="s">
        <v>34</v>
      </c>
      <c r="N16" s="21" t="s">
        <v>34</v>
      </c>
      <c r="O16" s="21" t="s">
        <v>34</v>
      </c>
      <c r="P16" s="21" t="s">
        <v>34</v>
      </c>
      <c r="Q16" s="21"/>
    </row>
    <row r="17" spans="1:17">
      <c r="A17" s="1">
        <f t="shared" si="0"/>
        <v>1995</v>
      </c>
      <c r="B17" s="21">
        <v>1.002</v>
      </c>
      <c r="C17" s="21">
        <v>1.002</v>
      </c>
      <c r="D17" s="21">
        <v>1.0029999999999999</v>
      </c>
      <c r="E17" s="21">
        <v>1.002</v>
      </c>
      <c r="F17" s="21">
        <v>1.002</v>
      </c>
      <c r="G17" s="21" t="s">
        <v>34</v>
      </c>
      <c r="H17" s="21" t="s">
        <v>34</v>
      </c>
      <c r="I17" s="21" t="s">
        <v>34</v>
      </c>
      <c r="J17" s="21" t="s">
        <v>34</v>
      </c>
      <c r="K17" s="21" t="s">
        <v>34</v>
      </c>
      <c r="L17" s="21" t="s">
        <v>34</v>
      </c>
      <c r="M17" s="21" t="s">
        <v>34</v>
      </c>
      <c r="N17" s="21" t="s">
        <v>34</v>
      </c>
      <c r="O17" s="21" t="s">
        <v>34</v>
      </c>
      <c r="P17" s="21" t="s">
        <v>34</v>
      </c>
      <c r="Q17" s="21"/>
    </row>
    <row r="18" spans="1:17">
      <c r="A18" s="1">
        <f t="shared" si="0"/>
        <v>1996</v>
      </c>
      <c r="B18" s="21">
        <v>1.0029999999999999</v>
      </c>
      <c r="C18" s="21">
        <v>1.0029999999999999</v>
      </c>
      <c r="D18" s="21">
        <v>1.002</v>
      </c>
      <c r="E18" s="21">
        <v>1.002</v>
      </c>
      <c r="F18" s="21" t="s">
        <v>34</v>
      </c>
      <c r="G18" s="21" t="s">
        <v>34</v>
      </c>
      <c r="H18" s="21" t="s">
        <v>34</v>
      </c>
      <c r="I18" s="21" t="s">
        <v>34</v>
      </c>
      <c r="J18" s="21" t="s">
        <v>34</v>
      </c>
      <c r="K18" s="21" t="s">
        <v>34</v>
      </c>
      <c r="L18" s="21" t="s">
        <v>34</v>
      </c>
      <c r="M18" s="21" t="s">
        <v>34</v>
      </c>
      <c r="N18" s="21" t="s">
        <v>34</v>
      </c>
      <c r="O18" s="21" t="s">
        <v>34</v>
      </c>
      <c r="P18" s="21" t="s">
        <v>34</v>
      </c>
      <c r="Q18" s="21"/>
    </row>
    <row r="19" spans="1:17">
      <c r="A19" s="1">
        <f t="shared" si="0"/>
        <v>1997</v>
      </c>
      <c r="B19" s="21">
        <v>1.0029999999999999</v>
      </c>
      <c r="C19" s="21">
        <v>1.0029999999999999</v>
      </c>
      <c r="D19" s="21">
        <v>1.002</v>
      </c>
      <c r="E19" s="21" t="s">
        <v>34</v>
      </c>
      <c r="F19" s="21" t="s">
        <v>34</v>
      </c>
      <c r="G19" s="21" t="s">
        <v>34</v>
      </c>
      <c r="H19" s="21" t="s">
        <v>34</v>
      </c>
      <c r="I19" s="21" t="s">
        <v>34</v>
      </c>
      <c r="J19" s="21" t="s">
        <v>34</v>
      </c>
      <c r="K19" s="21" t="s">
        <v>34</v>
      </c>
      <c r="L19" s="21" t="s">
        <v>34</v>
      </c>
      <c r="M19" s="21" t="s">
        <v>34</v>
      </c>
      <c r="N19" s="21" t="s">
        <v>34</v>
      </c>
      <c r="O19" s="21" t="s">
        <v>34</v>
      </c>
      <c r="P19" s="21" t="s">
        <v>34</v>
      </c>
      <c r="Q19" s="21"/>
    </row>
    <row r="20" spans="1:17">
      <c r="A20" s="1">
        <f t="shared" si="0"/>
        <v>1998</v>
      </c>
      <c r="B20" s="21">
        <v>1.0029999999999999</v>
      </c>
      <c r="C20" s="21">
        <v>1.002</v>
      </c>
      <c r="D20" s="21" t="s">
        <v>34</v>
      </c>
      <c r="E20" s="21" t="s">
        <v>34</v>
      </c>
      <c r="F20" s="21" t="s">
        <v>34</v>
      </c>
      <c r="G20" s="21" t="s">
        <v>34</v>
      </c>
      <c r="H20" s="21" t="s">
        <v>34</v>
      </c>
      <c r="I20" s="21" t="s">
        <v>34</v>
      </c>
      <c r="J20" s="21" t="s">
        <v>34</v>
      </c>
      <c r="K20" s="21" t="s">
        <v>34</v>
      </c>
      <c r="L20" s="21" t="s">
        <v>34</v>
      </c>
      <c r="M20" s="21" t="s">
        <v>34</v>
      </c>
      <c r="N20" s="21" t="s">
        <v>34</v>
      </c>
      <c r="O20" s="21" t="s">
        <v>34</v>
      </c>
      <c r="P20" s="21" t="s">
        <v>34</v>
      </c>
      <c r="Q20" s="21"/>
    </row>
    <row r="21" spans="1:17">
      <c r="A21" s="1">
        <f>'Exhibit 2.5.1'!A9</f>
        <v>1999</v>
      </c>
      <c r="B21" s="21">
        <v>1.002</v>
      </c>
      <c r="C21" s="21" t="s">
        <v>34</v>
      </c>
      <c r="D21" s="21" t="s">
        <v>34</v>
      </c>
      <c r="E21" s="21" t="s">
        <v>34</v>
      </c>
      <c r="F21" s="21" t="s">
        <v>34</v>
      </c>
      <c r="G21" s="21" t="s">
        <v>34</v>
      </c>
      <c r="H21" s="21" t="s">
        <v>34</v>
      </c>
      <c r="I21" s="21" t="s">
        <v>34</v>
      </c>
      <c r="J21" s="21" t="s">
        <v>34</v>
      </c>
      <c r="K21" s="21" t="s">
        <v>34</v>
      </c>
      <c r="L21" s="21" t="s">
        <v>34</v>
      </c>
      <c r="M21" s="21" t="s">
        <v>34</v>
      </c>
      <c r="N21" s="21" t="s">
        <v>34</v>
      </c>
      <c r="O21" s="21" t="s">
        <v>34</v>
      </c>
      <c r="P21" s="21" t="s">
        <v>34</v>
      </c>
      <c r="Q21" s="21"/>
    </row>
    <row r="22" spans="1:17">
      <c r="A22" s="1"/>
      <c r="B22" s="16"/>
      <c r="C22" s="16"/>
      <c r="D22" s="16"/>
      <c r="E22" s="16"/>
      <c r="F22" s="16"/>
      <c r="G22" s="16"/>
      <c r="H22" s="16"/>
      <c r="I22" s="16"/>
      <c r="J22" s="16"/>
      <c r="K22" s="16"/>
      <c r="L22" s="16"/>
      <c r="M22" s="16"/>
      <c r="N22" s="16"/>
      <c r="O22" s="16"/>
      <c r="P22" s="16"/>
      <c r="Q22" s="16"/>
    </row>
    <row r="23" spans="1:17">
      <c r="A23" s="17"/>
      <c r="B23" s="16"/>
      <c r="C23" s="16"/>
      <c r="D23" s="16"/>
      <c r="E23" s="16"/>
      <c r="F23" s="16"/>
      <c r="G23" s="16"/>
      <c r="H23" s="16"/>
      <c r="I23" s="16"/>
      <c r="J23" s="16"/>
      <c r="K23" s="16"/>
      <c r="L23" s="16"/>
      <c r="M23" s="16"/>
      <c r="N23" s="16"/>
      <c r="O23" s="16"/>
      <c r="P23" s="16"/>
      <c r="Q23" s="16"/>
    </row>
    <row r="24" spans="1:17" s="305" customFormat="1">
      <c r="A24" s="1" t="s">
        <v>58</v>
      </c>
      <c r="B24" s="16">
        <f>AVERAGE(B19:B21)</f>
        <v>1.0026666666666666</v>
      </c>
      <c r="C24" s="16">
        <f>AVERAGE(C18:C20)</f>
        <v>1.0026666666666666</v>
      </c>
      <c r="D24" s="16">
        <f>AVERAGE(D17:D19)</f>
        <v>1.0023333333333333</v>
      </c>
      <c r="E24" s="16">
        <f>AVERAGE(E16:E18)</f>
        <v>1.0016666666666667</v>
      </c>
      <c r="F24" s="16">
        <f>AVERAGE(F15:F17)</f>
        <v>1.0013333333333332</v>
      </c>
      <c r="G24" s="16">
        <f>AVERAGE(G14:G16)</f>
        <v>1.0013333333333332</v>
      </c>
      <c r="H24" s="16">
        <f>AVERAGE(H13:H15)</f>
        <v>1.0009999999999999</v>
      </c>
      <c r="I24" s="16">
        <f>AVERAGE(I12:I14)</f>
        <v>1.0009999999999999</v>
      </c>
      <c r="J24" s="16">
        <f>AVERAGE(J11:J13)</f>
        <v>1.0009999999999999</v>
      </c>
      <c r="K24" s="16">
        <f>AVERAGE(K10:K12)</f>
        <v>1.0006666666666666</v>
      </c>
      <c r="L24" s="16">
        <f>AVERAGE(L9:L11)</f>
        <v>1.0006666666666666</v>
      </c>
      <c r="M24" s="16">
        <f>AVERAGE(M8:M10)</f>
        <v>1.0009999999999999</v>
      </c>
      <c r="N24" s="16">
        <f>AVERAGE(N7:N9)</f>
        <v>1.0003333333333333</v>
      </c>
      <c r="O24" s="16">
        <f>AVERAGE(O6:O8)</f>
        <v>1.0003333333333333</v>
      </c>
      <c r="P24" s="16">
        <f>AVERAGE(P5:P7)</f>
        <v>1.0006666666666666</v>
      </c>
      <c r="Q24" s="21">
        <v>1.0089999999999999</v>
      </c>
    </row>
    <row r="25" spans="1:17">
      <c r="A25" s="1" t="s">
        <v>36</v>
      </c>
      <c r="B25" s="21">
        <v>1.0026666666666666</v>
      </c>
      <c r="C25" s="21">
        <v>1.0026666666666666</v>
      </c>
      <c r="D25" s="21">
        <v>1.0017082140962057</v>
      </c>
      <c r="E25" s="21">
        <v>1.0012252954490231</v>
      </c>
      <c r="F25" s="21">
        <v>1.0009894907189809</v>
      </c>
      <c r="G25" s="21">
        <v>1.0010065834614166</v>
      </c>
      <c r="H25" s="21">
        <v>1.0007714882689014</v>
      </c>
      <c r="I25" s="21">
        <v>1.0007981268233945</v>
      </c>
      <c r="J25" s="21">
        <v>1.0008187898392504</v>
      </c>
      <c r="K25" s="21">
        <v>1.0005579114026812</v>
      </c>
      <c r="L25" s="21">
        <v>1.0006666666666666</v>
      </c>
      <c r="M25" s="21">
        <v>1.000839957100834</v>
      </c>
      <c r="N25" s="21">
        <v>1.000279985700278</v>
      </c>
      <c r="O25" s="21">
        <v>1.000279985700278</v>
      </c>
      <c r="P25" s="21">
        <v>1.000559971400556</v>
      </c>
      <c r="Q25" s="16">
        <f>Q26</f>
        <v>1.0058696924818</v>
      </c>
    </row>
    <row r="26" spans="1:17">
      <c r="A26" s="1" t="s">
        <v>24</v>
      </c>
      <c r="B26" s="16">
        <f>B25*C26</f>
        <v>1.0219127490209559</v>
      </c>
      <c r="C26" s="16">
        <f t="shared" ref="C26:M26" si="1">C25*D26</f>
        <v>1.0191948959650492</v>
      </c>
      <c r="D26" s="16">
        <f t="shared" si="1"/>
        <v>1.0164842712417379</v>
      </c>
      <c r="E26" s="16">
        <f t="shared" si="1"/>
        <v>1.0147508595193702</v>
      </c>
      <c r="F26" s="16">
        <f t="shared" si="1"/>
        <v>1.0135090115399863</v>
      </c>
      <c r="G26" s="16">
        <f t="shared" si="1"/>
        <v>1.0125071451169911</v>
      </c>
      <c r="H26" s="16">
        <f t="shared" si="1"/>
        <v>1.0114889970211847</v>
      </c>
      <c r="I26" s="16">
        <f t="shared" si="1"/>
        <v>1.0107092466940901</v>
      </c>
      <c r="J26" s="16">
        <f t="shared" si="1"/>
        <v>1.0099032158484891</v>
      </c>
      <c r="K26" s="16">
        <f t="shared" si="1"/>
        <v>1.0090769938588959</v>
      </c>
      <c r="L26" s="16">
        <f t="shared" si="1"/>
        <v>1.0085143322131866</v>
      </c>
      <c r="M26" s="16">
        <f t="shared" si="1"/>
        <v>1.0078424372550168</v>
      </c>
      <c r="N26" s="16">
        <f t="shared" ref="N26" si="2">N25*O26</f>
        <v>1.0069966033075528</v>
      </c>
      <c r="O26" s="16">
        <f t="shared" ref="O26" si="3">O25*P26</f>
        <v>1.0067147375767722</v>
      </c>
      <c r="P26" s="16">
        <f t="shared" ref="P26" si="4">P25*Q26</f>
        <v>1.0064329507422758</v>
      </c>
      <c r="Q26" s="21">
        <v>1.0058696924818</v>
      </c>
    </row>
    <row r="27" spans="1:17">
      <c r="A27" s="17"/>
      <c r="B27" s="16"/>
      <c r="C27" s="16"/>
      <c r="D27" s="16"/>
      <c r="E27" s="16"/>
      <c r="F27" s="16"/>
      <c r="G27" s="16"/>
      <c r="H27" s="16"/>
      <c r="I27" s="16"/>
      <c r="J27" s="16"/>
      <c r="K27" s="16"/>
      <c r="L27" s="16"/>
      <c r="M27" s="16"/>
      <c r="N27" s="16"/>
      <c r="O27" s="16"/>
      <c r="P27" s="16"/>
      <c r="Q27" s="16"/>
    </row>
    <row r="28" spans="1:17" ht="12.75" customHeight="1">
      <c r="A28" s="3" t="s">
        <v>26</v>
      </c>
      <c r="B28" s="44" t="s">
        <v>519</v>
      </c>
      <c r="C28" s="337"/>
      <c r="D28" s="337"/>
      <c r="E28" s="337"/>
      <c r="F28" s="337"/>
      <c r="G28" s="337"/>
      <c r="H28" s="337"/>
      <c r="I28" s="337"/>
      <c r="J28" s="337"/>
      <c r="K28" s="337"/>
      <c r="L28" s="337"/>
      <c r="M28" s="337"/>
      <c r="N28" s="337"/>
      <c r="O28" s="337"/>
      <c r="P28" s="337"/>
      <c r="Q28" s="337"/>
    </row>
    <row r="29" spans="1:17" ht="12.75" customHeight="1">
      <c r="A29" s="3" t="s">
        <v>30</v>
      </c>
      <c r="B29" s="307" t="s">
        <v>520</v>
      </c>
      <c r="C29" s="337"/>
      <c r="D29" s="337"/>
      <c r="E29" s="337"/>
      <c r="F29" s="337"/>
      <c r="G29" s="337"/>
      <c r="H29" s="337"/>
      <c r="I29" s="337"/>
      <c r="J29" s="337"/>
      <c r="K29" s="337"/>
      <c r="L29" s="337"/>
      <c r="M29" s="337"/>
      <c r="N29" s="337"/>
      <c r="O29" s="337"/>
      <c r="P29" s="337"/>
      <c r="Q29" s="337"/>
    </row>
    <row r="30" spans="1:17">
      <c r="A30" s="44"/>
      <c r="B30" s="307" t="s">
        <v>435</v>
      </c>
      <c r="C30" s="44"/>
      <c r="D30" s="44"/>
      <c r="E30" s="44"/>
      <c r="F30" s="44"/>
      <c r="G30" s="44"/>
      <c r="H30" s="44"/>
      <c r="I30" s="44"/>
      <c r="J30" s="44"/>
      <c r="K30" s="44"/>
      <c r="L30" s="44"/>
      <c r="M30" s="44"/>
      <c r="N30" s="44"/>
      <c r="O30" s="44"/>
      <c r="P30" s="44"/>
      <c r="Q30" s="44"/>
    </row>
  </sheetData>
  <pageMargins left="0.7" right="0.7" top="0.75" bottom="0.75" header="0.3" footer="0.3"/>
  <pageSetup scale="91" orientation="landscape" blackAndWhite="1" horizontalDpi="1200" verticalDpi="1200" r:id="rId1"/>
  <headerFooter scaleWithDoc="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9B84D-72F2-4F86-9A6E-950722CA4BB3}">
  <dimension ref="A1:L343"/>
  <sheetViews>
    <sheetView zoomScaleNormal="100" zoomScaleSheetLayoutView="84" workbookViewId="0"/>
  </sheetViews>
  <sheetFormatPr defaultRowHeight="15"/>
  <cols>
    <col min="1" max="1" width="8.7109375" customWidth="1"/>
    <col min="2" max="2" width="7.7109375" customWidth="1"/>
    <col min="3" max="3" width="15.7109375" bestFit="1" customWidth="1"/>
    <col min="4" max="11" width="10" customWidth="1"/>
    <col min="12" max="12" width="12.7109375" customWidth="1"/>
  </cols>
  <sheetData>
    <row r="1" spans="1:12" ht="45" customHeight="1">
      <c r="L1" s="143" t="s">
        <v>356</v>
      </c>
    </row>
    <row r="2" spans="1:12" ht="12.75" customHeight="1">
      <c r="A2" s="245" t="s">
        <v>31</v>
      </c>
      <c r="B2" s="245"/>
      <c r="C2" s="245"/>
      <c r="D2" s="245"/>
      <c r="E2" s="245"/>
      <c r="F2" s="245"/>
      <c r="G2" s="245"/>
      <c r="H2" s="245"/>
      <c r="I2" s="245"/>
      <c r="J2" s="245"/>
      <c r="K2" s="245"/>
      <c r="L2" s="245"/>
    </row>
    <row r="3" spans="1:12" ht="12.75" customHeight="1">
      <c r="A3" s="245" t="s">
        <v>247</v>
      </c>
      <c r="B3" s="245"/>
      <c r="C3" s="245"/>
      <c r="D3" s="245"/>
      <c r="E3" s="245"/>
      <c r="F3" s="245"/>
      <c r="G3" s="245"/>
      <c r="H3" s="245"/>
      <c r="I3" s="245"/>
      <c r="J3" s="245"/>
      <c r="K3" s="245"/>
      <c r="L3" s="245"/>
    </row>
    <row r="4" spans="1:12" ht="12.75" customHeight="1">
      <c r="A4" s="245" t="s">
        <v>248</v>
      </c>
      <c r="B4" s="245"/>
      <c r="C4" s="245"/>
      <c r="D4" s="245"/>
      <c r="E4" s="245"/>
      <c r="F4" s="245"/>
      <c r="G4" s="245"/>
      <c r="H4" s="245"/>
      <c r="I4" s="245"/>
      <c r="J4" s="245"/>
      <c r="K4" s="245"/>
      <c r="L4" s="245"/>
    </row>
    <row r="5" spans="1:12">
      <c r="A5" s="466"/>
      <c r="B5" s="466"/>
      <c r="C5" s="466"/>
      <c r="D5" s="466"/>
      <c r="E5" s="466"/>
      <c r="F5" s="466"/>
      <c r="G5" s="466"/>
      <c r="H5" s="466"/>
      <c r="I5" s="466"/>
    </row>
    <row r="6" spans="1:12">
      <c r="A6" s="520" t="s">
        <v>249</v>
      </c>
      <c r="B6" s="520"/>
      <c r="C6" s="520"/>
      <c r="D6" s="520"/>
      <c r="E6" s="520"/>
      <c r="F6" s="520"/>
      <c r="G6" s="520"/>
      <c r="H6" s="520"/>
      <c r="I6" s="520"/>
      <c r="J6" s="520"/>
      <c r="K6" s="467"/>
    </row>
    <row r="7" spans="1:12">
      <c r="A7" s="466"/>
      <c r="B7" s="466"/>
      <c r="C7" s="466"/>
      <c r="D7" s="466"/>
      <c r="E7" s="466"/>
      <c r="F7" s="466"/>
      <c r="G7" s="466"/>
      <c r="H7" s="466"/>
      <c r="I7" s="466"/>
      <c r="J7" s="466"/>
      <c r="K7" s="466"/>
    </row>
    <row r="8" spans="1:12">
      <c r="A8" s="466"/>
      <c r="B8" s="466"/>
      <c r="C8" s="466"/>
      <c r="D8" s="466"/>
      <c r="E8" s="466"/>
      <c r="F8" s="466"/>
      <c r="G8" s="466"/>
      <c r="H8" s="466"/>
      <c r="I8" s="466"/>
      <c r="J8" s="466"/>
      <c r="K8" s="466"/>
    </row>
    <row r="9" spans="1:12">
      <c r="A9" s="466"/>
      <c r="B9" s="466"/>
      <c r="C9" s="252" t="s">
        <v>197</v>
      </c>
      <c r="D9" s="518" t="s">
        <v>294</v>
      </c>
      <c r="E9" s="518"/>
      <c r="F9" s="518"/>
      <c r="G9" s="518"/>
      <c r="H9" s="518"/>
      <c r="I9" s="518"/>
      <c r="J9" s="518"/>
      <c r="K9" s="252"/>
    </row>
    <row r="10" spans="1:12">
      <c r="A10" s="466"/>
      <c r="B10" s="466"/>
      <c r="C10" s="26" t="s">
        <v>8</v>
      </c>
      <c r="D10" s="77">
        <v>12</v>
      </c>
      <c r="E10" s="77">
        <f t="shared" ref="E10:J10" si="0">+D10+12</f>
        <v>24</v>
      </c>
      <c r="F10" s="77">
        <f t="shared" si="0"/>
        <v>36</v>
      </c>
      <c r="G10" s="77">
        <f t="shared" si="0"/>
        <v>48</v>
      </c>
      <c r="H10" s="77">
        <f t="shared" si="0"/>
        <v>60</v>
      </c>
      <c r="I10" s="77">
        <f t="shared" si="0"/>
        <v>72</v>
      </c>
      <c r="J10" s="77">
        <f t="shared" si="0"/>
        <v>84</v>
      </c>
      <c r="K10" s="77"/>
    </row>
    <row r="11" spans="1:12" ht="4.9000000000000004" customHeight="1">
      <c r="A11" s="466"/>
      <c r="B11" s="466"/>
      <c r="C11" s="466"/>
      <c r="D11" s="466"/>
      <c r="E11" s="466"/>
      <c r="F11" s="466"/>
      <c r="G11" s="466"/>
      <c r="H11" s="466"/>
      <c r="I11" s="466"/>
      <c r="J11" s="466"/>
      <c r="K11" s="466"/>
    </row>
    <row r="12" spans="1:12">
      <c r="A12" s="466"/>
      <c r="B12" s="466"/>
      <c r="C12" s="252">
        <f t="shared" ref="C12:C19" si="1">C13-1</f>
        <v>2012</v>
      </c>
      <c r="D12" s="363"/>
      <c r="E12" s="363"/>
      <c r="F12" s="363"/>
      <c r="G12" s="363"/>
      <c r="H12" s="363"/>
      <c r="I12" s="363"/>
      <c r="J12" s="363">
        <v>125377.07625581986</v>
      </c>
      <c r="K12" s="73"/>
    </row>
    <row r="13" spans="1:12">
      <c r="A13" s="466"/>
      <c r="B13" s="466"/>
      <c r="C13" s="252">
        <f t="shared" si="1"/>
        <v>2013</v>
      </c>
      <c r="D13" s="363"/>
      <c r="E13" s="363"/>
      <c r="F13" s="363"/>
      <c r="G13" s="363"/>
      <c r="H13" s="363"/>
      <c r="I13" s="363">
        <v>133608.60234942206</v>
      </c>
      <c r="J13" s="363">
        <v>133806.60917006503</v>
      </c>
      <c r="K13" s="73"/>
    </row>
    <row r="14" spans="1:12">
      <c r="A14" s="466"/>
      <c r="B14" s="466"/>
      <c r="C14" s="252">
        <f t="shared" si="1"/>
        <v>2014</v>
      </c>
      <c r="D14" s="363"/>
      <c r="E14" s="363"/>
      <c r="F14" s="363"/>
      <c r="G14" s="363"/>
      <c r="H14" s="363">
        <v>139333.33768253698</v>
      </c>
      <c r="I14" s="363">
        <v>139632.33626125485</v>
      </c>
      <c r="J14" s="363">
        <v>139673</v>
      </c>
      <c r="K14" s="73"/>
    </row>
    <row r="15" spans="1:12">
      <c r="A15" s="466"/>
      <c r="B15" s="466"/>
      <c r="C15" s="252">
        <f t="shared" si="1"/>
        <v>2015</v>
      </c>
      <c r="D15" s="363"/>
      <c r="E15" s="363"/>
      <c r="F15" s="363"/>
      <c r="G15" s="363">
        <v>144009.13956818005</v>
      </c>
      <c r="H15" s="363">
        <v>144423.1342198471</v>
      </c>
      <c r="I15" s="363">
        <v>144782.99999999997</v>
      </c>
      <c r="J15" s="363">
        <v>144944</v>
      </c>
      <c r="K15" s="73"/>
    </row>
    <row r="16" spans="1:12">
      <c r="A16" s="466"/>
      <c r="B16" s="466"/>
      <c r="C16" s="252">
        <f t="shared" si="1"/>
        <v>2016</v>
      </c>
      <c r="D16" s="363"/>
      <c r="E16" s="363"/>
      <c r="F16" s="363">
        <v>146455</v>
      </c>
      <c r="G16" s="363">
        <v>147461</v>
      </c>
      <c r="H16" s="363">
        <v>147904</v>
      </c>
      <c r="I16" s="363">
        <v>148191</v>
      </c>
      <c r="J16" s="363" t="s">
        <v>34</v>
      </c>
      <c r="K16" s="73"/>
    </row>
    <row r="17" spans="1:11">
      <c r="A17" s="466"/>
      <c r="B17" s="466"/>
      <c r="C17" s="252">
        <f t="shared" si="1"/>
        <v>2017</v>
      </c>
      <c r="D17" s="363"/>
      <c r="E17" s="363">
        <v>143733.99999999997</v>
      </c>
      <c r="F17" s="363">
        <v>147088.99999999997</v>
      </c>
      <c r="G17" s="363">
        <v>148179</v>
      </c>
      <c r="H17" s="363">
        <v>148580</v>
      </c>
      <c r="I17" s="363" t="s">
        <v>34</v>
      </c>
      <c r="J17" s="363" t="s">
        <v>34</v>
      </c>
      <c r="K17" s="73"/>
    </row>
    <row r="18" spans="1:11">
      <c r="A18" s="466"/>
      <c r="B18" s="466"/>
      <c r="C18" s="252">
        <f t="shared" si="1"/>
        <v>2018</v>
      </c>
      <c r="D18" s="363">
        <v>119668.00000000003</v>
      </c>
      <c r="E18" s="363">
        <v>146730.00000000003</v>
      </c>
      <c r="F18" s="363">
        <v>150175</v>
      </c>
      <c r="G18" s="363">
        <v>151186</v>
      </c>
      <c r="H18" s="363" t="s">
        <v>34</v>
      </c>
      <c r="I18" s="363" t="s">
        <v>34</v>
      </c>
      <c r="J18" s="363" t="s">
        <v>34</v>
      </c>
      <c r="K18" s="73"/>
    </row>
    <row r="19" spans="1:11">
      <c r="A19" s="466"/>
      <c r="B19" s="466"/>
      <c r="C19" s="252">
        <f t="shared" si="1"/>
        <v>2019</v>
      </c>
      <c r="D19" s="363">
        <v>121955</v>
      </c>
      <c r="E19" s="363">
        <v>148976</v>
      </c>
      <c r="F19" s="363">
        <v>153193</v>
      </c>
      <c r="G19" s="363" t="s">
        <v>34</v>
      </c>
      <c r="H19" s="363" t="s">
        <v>34</v>
      </c>
      <c r="I19" s="363" t="s">
        <v>34</v>
      </c>
      <c r="J19" s="363" t="s">
        <v>34</v>
      </c>
      <c r="K19" s="73"/>
    </row>
    <row r="20" spans="1:11">
      <c r="A20" s="466"/>
      <c r="B20" s="466"/>
      <c r="C20" s="252">
        <f>C21-1</f>
        <v>2020</v>
      </c>
      <c r="D20" s="363">
        <v>106343</v>
      </c>
      <c r="E20" s="363">
        <v>129773</v>
      </c>
      <c r="F20" s="363" t="s">
        <v>34</v>
      </c>
      <c r="G20" s="363" t="s">
        <v>34</v>
      </c>
      <c r="H20" s="363" t="s">
        <v>34</v>
      </c>
      <c r="I20" s="363" t="s">
        <v>34</v>
      </c>
      <c r="J20" s="363" t="s">
        <v>34</v>
      </c>
      <c r="K20" s="73"/>
    </row>
    <row r="21" spans="1:11">
      <c r="A21" s="466"/>
      <c r="B21" s="466"/>
      <c r="C21" s="252">
        <v>2021</v>
      </c>
      <c r="D21" s="363">
        <v>117281</v>
      </c>
      <c r="E21" s="363" t="s">
        <v>34</v>
      </c>
      <c r="F21" s="363"/>
      <c r="G21" s="363"/>
      <c r="H21" s="363"/>
      <c r="I21" s="363"/>
      <c r="J21" s="363"/>
      <c r="K21" s="73"/>
    </row>
    <row r="22" spans="1:11">
      <c r="A22" s="466"/>
      <c r="B22" s="466"/>
      <c r="C22" s="252"/>
      <c r="D22" s="73"/>
      <c r="E22" s="73"/>
      <c r="F22" s="73"/>
      <c r="G22" s="73"/>
      <c r="H22" s="73"/>
      <c r="I22" s="73"/>
      <c r="J22" s="73"/>
      <c r="K22" s="73"/>
    </row>
    <row r="23" spans="1:11">
      <c r="A23" s="520" t="s">
        <v>250</v>
      </c>
      <c r="B23" s="520"/>
      <c r="C23" s="520"/>
      <c r="D23" s="520"/>
      <c r="E23" s="520"/>
      <c r="F23" s="520"/>
      <c r="G23" s="520"/>
      <c r="H23" s="520"/>
      <c r="I23" s="520"/>
      <c r="J23" s="520"/>
      <c r="K23" s="467"/>
    </row>
    <row r="24" spans="1:11">
      <c r="A24" s="49"/>
      <c r="B24" s="49"/>
      <c r="C24" s="50"/>
      <c r="D24" s="50"/>
      <c r="E24" s="50"/>
      <c r="F24" s="50"/>
      <c r="G24" s="50"/>
      <c r="H24" s="50"/>
      <c r="I24" s="50"/>
      <c r="J24" s="50"/>
      <c r="K24" s="50"/>
    </row>
    <row r="25" spans="1:11">
      <c r="A25" s="466"/>
      <c r="B25" s="466"/>
      <c r="C25" s="252" t="s">
        <v>54</v>
      </c>
      <c r="D25" s="518" t="s">
        <v>481</v>
      </c>
      <c r="E25" s="518"/>
      <c r="F25" s="518"/>
      <c r="G25" s="518"/>
      <c r="H25" s="518"/>
      <c r="I25" s="518"/>
      <c r="J25" s="518"/>
      <c r="K25" s="252"/>
    </row>
    <row r="26" spans="1:11">
      <c r="A26" s="466"/>
      <c r="B26" s="466"/>
      <c r="C26" s="26" t="s">
        <v>8</v>
      </c>
      <c r="D26" s="77" t="str">
        <f t="shared" ref="D26:I26" si="2">+D10&amp;"-"&amp;E10</f>
        <v>12-24</v>
      </c>
      <c r="E26" s="77" t="str">
        <f t="shared" si="2"/>
        <v>24-36</v>
      </c>
      <c r="F26" s="77" t="str">
        <f t="shared" si="2"/>
        <v>36-48</v>
      </c>
      <c r="G26" s="77" t="str">
        <f t="shared" si="2"/>
        <v>48-60</v>
      </c>
      <c r="H26" s="77" t="str">
        <f t="shared" si="2"/>
        <v>60-72</v>
      </c>
      <c r="I26" s="77" t="str">
        <f t="shared" si="2"/>
        <v>72-84</v>
      </c>
      <c r="J26" s="77" t="str">
        <f>RIGHT(I26,2)&amp;"-Ult"</f>
        <v>84-Ult</v>
      </c>
      <c r="K26" s="77"/>
    </row>
    <row r="27" spans="1:11" ht="4.1500000000000004" customHeight="1">
      <c r="A27" s="466"/>
      <c r="B27" s="466"/>
      <c r="C27" s="466"/>
      <c r="D27" s="466"/>
      <c r="E27" s="466"/>
      <c r="F27" s="466"/>
      <c r="G27" s="466"/>
      <c r="H27" s="466"/>
      <c r="I27" s="466"/>
      <c r="J27" s="466"/>
      <c r="K27" s="466"/>
    </row>
    <row r="28" spans="1:11">
      <c r="A28" s="466"/>
      <c r="B28" s="466"/>
      <c r="C28" s="252">
        <f t="shared" ref="C28:C33" si="3">C29-1</f>
        <v>2013</v>
      </c>
      <c r="D28" s="54"/>
      <c r="E28" s="54"/>
      <c r="F28" s="54"/>
      <c r="G28" s="54"/>
      <c r="H28" s="54"/>
      <c r="I28" s="144">
        <f t="shared" ref="I28" si="4">J13/I13</f>
        <v>1.0014819915571389</v>
      </c>
      <c r="J28" s="54"/>
      <c r="K28" s="54"/>
    </row>
    <row r="29" spans="1:11">
      <c r="A29" s="466"/>
      <c r="B29" s="466"/>
      <c r="C29" s="252">
        <f t="shared" si="3"/>
        <v>2014</v>
      </c>
      <c r="D29" s="54"/>
      <c r="E29" s="54"/>
      <c r="F29" s="54"/>
      <c r="G29" s="54"/>
      <c r="H29" s="144">
        <f t="shared" ref="H29:I29" si="5">I14/H14</f>
        <v>1.002145922746781</v>
      </c>
      <c r="I29" s="144">
        <f t="shared" si="5"/>
        <v>1.0002912200700349</v>
      </c>
      <c r="J29" s="54"/>
      <c r="K29" s="54"/>
    </row>
    <row r="30" spans="1:11">
      <c r="A30" s="466"/>
      <c r="B30" s="466"/>
      <c r="C30" s="252">
        <f t="shared" si="3"/>
        <v>2015</v>
      </c>
      <c r="D30" s="54"/>
      <c r="E30" s="54"/>
      <c r="F30" s="54"/>
      <c r="G30" s="144">
        <f t="shared" ref="G30:H30" si="6">H15/G15</f>
        <v>1.0028747803987195</v>
      </c>
      <c r="H30" s="144">
        <f t="shared" si="6"/>
        <v>1.0024917460910734</v>
      </c>
      <c r="I30" s="144">
        <f>J15/I15</f>
        <v>1.0011120090065824</v>
      </c>
      <c r="J30" s="54"/>
      <c r="K30" s="54"/>
    </row>
    <row r="31" spans="1:11">
      <c r="A31" s="466"/>
      <c r="B31" s="466"/>
      <c r="C31" s="252">
        <f t="shared" si="3"/>
        <v>2016</v>
      </c>
      <c r="D31" s="54"/>
      <c r="E31" s="54"/>
      <c r="F31" s="144">
        <f t="shared" ref="F31:G31" si="7">G16/F16</f>
        <v>1.0068690041309618</v>
      </c>
      <c r="G31" s="144">
        <f t="shared" si="7"/>
        <v>1.0030041841571671</v>
      </c>
      <c r="H31" s="144">
        <f>I16/H16</f>
        <v>1.00194044785807</v>
      </c>
      <c r="I31" s="54"/>
      <c r="J31" s="54"/>
      <c r="K31" s="54"/>
    </row>
    <row r="32" spans="1:11">
      <c r="A32" s="466"/>
      <c r="B32" s="466"/>
      <c r="C32" s="252">
        <f t="shared" si="3"/>
        <v>2017</v>
      </c>
      <c r="D32" s="54"/>
      <c r="E32" s="144">
        <f t="shared" ref="D32:E34" si="8">F17/E17</f>
        <v>1.0233417284706472</v>
      </c>
      <c r="F32" s="144">
        <f t="shared" ref="F32" si="9">G17/F17</f>
        <v>1.0074104793696335</v>
      </c>
      <c r="G32" s="144">
        <f>H17/G17</f>
        <v>1.0027061864366746</v>
      </c>
      <c r="H32" s="54"/>
      <c r="I32" s="54"/>
      <c r="J32" s="54"/>
      <c r="K32" s="54"/>
    </row>
    <row r="33" spans="1:11">
      <c r="A33" s="466"/>
      <c r="B33" s="466"/>
      <c r="C33" s="252">
        <f t="shared" si="3"/>
        <v>2018</v>
      </c>
      <c r="D33" s="144">
        <f t="shared" si="8"/>
        <v>1.2261423271049905</v>
      </c>
      <c r="E33" s="144">
        <f t="shared" si="8"/>
        <v>1.023478497921352</v>
      </c>
      <c r="F33" s="144">
        <f>G18/F18</f>
        <v>1.0067321458298653</v>
      </c>
      <c r="G33" s="54"/>
      <c r="H33" s="54"/>
      <c r="I33" s="54"/>
      <c r="J33" s="54"/>
      <c r="K33" s="54"/>
    </row>
    <row r="34" spans="1:11">
      <c r="A34" s="466"/>
      <c r="B34" s="466"/>
      <c r="C34" s="252">
        <f>C35-1</f>
        <v>2019</v>
      </c>
      <c r="D34" s="144">
        <f t="shared" si="8"/>
        <v>1.2215653314747243</v>
      </c>
      <c r="E34" s="144">
        <f>F19/E19</f>
        <v>1.0283065728707981</v>
      </c>
      <c r="F34" s="54"/>
      <c r="G34" s="54"/>
      <c r="H34" s="54"/>
      <c r="I34" s="54"/>
      <c r="J34" s="54"/>
      <c r="K34" s="54"/>
    </row>
    <row r="35" spans="1:11">
      <c r="A35" s="466"/>
      <c r="B35" s="466"/>
      <c r="C35" s="252">
        <f>C21-1</f>
        <v>2020</v>
      </c>
      <c r="D35" s="144">
        <f>E20/D20</f>
        <v>1.2203247980591105</v>
      </c>
      <c r="E35" s="54"/>
      <c r="F35" s="54"/>
      <c r="G35" s="54"/>
      <c r="H35" s="54"/>
      <c r="I35" s="54"/>
      <c r="J35" s="54"/>
      <c r="K35" s="54"/>
    </row>
    <row r="36" spans="1:11">
      <c r="A36" s="49"/>
      <c r="B36" s="49"/>
      <c r="C36" s="54"/>
      <c r="D36" s="54"/>
      <c r="E36" s="54"/>
      <c r="F36" s="54"/>
      <c r="G36" s="54"/>
      <c r="H36" s="35"/>
      <c r="I36" s="54"/>
      <c r="J36" s="54"/>
      <c r="K36" s="54"/>
    </row>
    <row r="37" spans="1:11">
      <c r="A37" s="466"/>
      <c r="B37" s="466"/>
      <c r="C37" s="466" t="s">
        <v>251</v>
      </c>
      <c r="D37" s="54">
        <f>D35</f>
        <v>1.2203247980591105</v>
      </c>
      <c r="E37" s="54">
        <f>E34</f>
        <v>1.0283065728707981</v>
      </c>
      <c r="F37" s="54">
        <f>F33</f>
        <v>1.0067321458298653</v>
      </c>
      <c r="G37" s="54">
        <f>G32</f>
        <v>1.0027061864366746</v>
      </c>
      <c r="H37" s="54">
        <f>H31</f>
        <v>1.00194044785807</v>
      </c>
      <c r="I37" s="54">
        <f>I30</f>
        <v>1.0011120090065824</v>
      </c>
      <c r="J37" s="54"/>
      <c r="K37" s="54"/>
    </row>
    <row r="38" spans="1:11">
      <c r="A38" s="466"/>
      <c r="B38" s="466"/>
      <c r="C38" s="466" t="s">
        <v>21</v>
      </c>
      <c r="D38" s="54">
        <f t="shared" ref="D38:I38" si="10">D37*E38</f>
        <v>1.2789344817174031</v>
      </c>
      <c r="E38" s="54">
        <f t="shared" si="10"/>
        <v>1.0480279379321877</v>
      </c>
      <c r="F38" s="54">
        <f t="shared" si="10"/>
        <v>1.0191784877989567</v>
      </c>
      <c r="G38" s="54">
        <f t="shared" si="10"/>
        <v>1.0123631116982281</v>
      </c>
      <c r="H38" s="54">
        <f t="shared" si="10"/>
        <v>1.0096308623524817</v>
      </c>
      <c r="I38" s="54">
        <f t="shared" si="10"/>
        <v>1.0076755205470067</v>
      </c>
      <c r="J38" s="364">
        <v>1.0065562209636636</v>
      </c>
      <c r="K38" s="54"/>
    </row>
    <row r="39" spans="1:11">
      <c r="A39" s="466"/>
      <c r="B39" s="466"/>
      <c r="C39" s="466"/>
      <c r="D39" s="466"/>
      <c r="E39" s="466"/>
      <c r="F39" s="466"/>
      <c r="G39" s="466"/>
      <c r="H39" s="466"/>
      <c r="I39" s="466"/>
      <c r="J39" s="466"/>
      <c r="K39" s="466"/>
    </row>
    <row r="40" spans="1:11">
      <c r="A40" s="466"/>
      <c r="B40" s="466"/>
      <c r="C40" s="466"/>
      <c r="D40" s="464"/>
      <c r="E40" s="464"/>
      <c r="F40" s="464"/>
      <c r="G40" s="464"/>
      <c r="H40" s="464"/>
      <c r="I40" s="464"/>
      <c r="J40" s="464"/>
      <c r="K40" s="252"/>
    </row>
    <row r="41" spans="1:11">
      <c r="A41" s="466"/>
      <c r="B41" s="466"/>
      <c r="C41" s="466" t="s">
        <v>252</v>
      </c>
      <c r="D41" s="77">
        <f>C21</f>
        <v>2021</v>
      </c>
      <c r="E41" s="77">
        <f t="shared" ref="E41:J41" si="11">D41-1</f>
        <v>2020</v>
      </c>
      <c r="F41" s="77">
        <f t="shared" si="11"/>
        <v>2019</v>
      </c>
      <c r="G41" s="77">
        <f t="shared" si="11"/>
        <v>2018</v>
      </c>
      <c r="H41" s="77">
        <f t="shared" si="11"/>
        <v>2017</v>
      </c>
      <c r="I41" s="77">
        <f t="shared" si="11"/>
        <v>2016</v>
      </c>
      <c r="J41" s="77">
        <f t="shared" si="11"/>
        <v>2015</v>
      </c>
      <c r="K41" s="77"/>
    </row>
    <row r="42" spans="1:11">
      <c r="A42" s="466"/>
      <c r="B42" s="466"/>
      <c r="C42" s="466" t="s">
        <v>253</v>
      </c>
      <c r="D42" s="139">
        <f>D38*D21</f>
        <v>149994.71495029874</v>
      </c>
      <c r="E42" s="139">
        <f>E38*E20</f>
        <v>136005.7295892738</v>
      </c>
      <c r="F42" s="139">
        <f>F38*F19</f>
        <v>156131.01008138558</v>
      </c>
      <c r="G42" s="139">
        <f>G38*G18</f>
        <v>153055.12940520831</v>
      </c>
      <c r="H42" s="139">
        <f>H38*H17</f>
        <v>150010.95352833174</v>
      </c>
      <c r="I42" s="139">
        <f>I38*I16</f>
        <v>149328.44306538146</v>
      </c>
      <c r="J42" s="139">
        <f>J38*J15</f>
        <v>145894.28489135727</v>
      </c>
      <c r="K42" s="139"/>
    </row>
    <row r="43" spans="1:11">
      <c r="A43" s="466"/>
      <c r="B43" s="466"/>
      <c r="C43" s="466"/>
      <c r="D43" s="140"/>
      <c r="E43" s="140"/>
      <c r="F43" s="140"/>
      <c r="G43" s="140"/>
      <c r="H43" s="140"/>
      <c r="I43" s="140"/>
      <c r="J43" s="140"/>
      <c r="K43" s="140"/>
    </row>
    <row r="44" spans="1:11">
      <c r="A44" s="520" t="s">
        <v>254</v>
      </c>
      <c r="B44" s="520"/>
      <c r="C44" s="520"/>
      <c r="D44" s="520"/>
      <c r="E44" s="520"/>
      <c r="F44" s="520"/>
      <c r="G44" s="520"/>
      <c r="H44" s="520"/>
      <c r="I44" s="520"/>
      <c r="J44" s="520"/>
      <c r="K44" s="467"/>
    </row>
    <row r="45" spans="1:11">
      <c r="A45" s="466"/>
      <c r="B45" s="466"/>
      <c r="C45" s="466"/>
      <c r="D45" s="466"/>
      <c r="E45" s="466"/>
      <c r="F45" s="466"/>
      <c r="G45" s="466"/>
      <c r="H45" s="466"/>
      <c r="I45" s="466"/>
      <c r="J45" s="466"/>
      <c r="K45" s="466"/>
    </row>
    <row r="46" spans="1:11">
      <c r="A46" s="466"/>
      <c r="B46" s="466"/>
      <c r="C46" s="252" t="s">
        <v>197</v>
      </c>
      <c r="D46" s="518" t="s">
        <v>294</v>
      </c>
      <c r="E46" s="519"/>
      <c r="F46" s="519"/>
      <c r="G46" s="519"/>
      <c r="H46" s="519"/>
      <c r="I46" s="519"/>
      <c r="J46" s="519"/>
    </row>
    <row r="47" spans="1:11">
      <c r="A47" s="466"/>
      <c r="B47" s="252"/>
      <c r="C47" s="26" t="s">
        <v>8</v>
      </c>
      <c r="D47" s="77">
        <f t="shared" ref="D47:J47" si="12">+D10</f>
        <v>12</v>
      </c>
      <c r="E47" s="77">
        <f t="shared" si="12"/>
        <v>24</v>
      </c>
      <c r="F47" s="77">
        <f t="shared" si="12"/>
        <v>36</v>
      </c>
      <c r="G47" s="77">
        <f t="shared" si="12"/>
        <v>48</v>
      </c>
      <c r="H47" s="77">
        <f t="shared" si="12"/>
        <v>60</v>
      </c>
      <c r="I47" s="77">
        <f t="shared" si="12"/>
        <v>72</v>
      </c>
      <c r="J47" s="77">
        <f t="shared" si="12"/>
        <v>84</v>
      </c>
      <c r="K47" s="77"/>
    </row>
    <row r="48" spans="1:11" ht="3.6" customHeight="1">
      <c r="A48" s="466"/>
      <c r="B48" s="466"/>
      <c r="C48" s="466"/>
      <c r="D48" s="466"/>
      <c r="E48" s="466"/>
      <c r="F48" s="466"/>
      <c r="G48" s="466"/>
      <c r="H48" s="466"/>
      <c r="I48" s="466"/>
      <c r="J48" s="466"/>
      <c r="K48" s="466"/>
    </row>
    <row r="49" spans="1:12">
      <c r="A49" s="466"/>
      <c r="B49" s="252"/>
      <c r="C49" s="252">
        <f t="shared" ref="C49:C55" si="13">+C50-1</f>
        <v>2012</v>
      </c>
      <c r="D49" s="363"/>
      <c r="E49" s="363"/>
      <c r="F49" s="363"/>
      <c r="G49" s="363"/>
      <c r="H49" s="363"/>
      <c r="I49" s="363"/>
      <c r="J49" s="363">
        <v>115362.10807370802</v>
      </c>
      <c r="K49" s="73"/>
    </row>
    <row r="50" spans="1:12">
      <c r="A50" s="466"/>
      <c r="B50" s="252"/>
      <c r="C50" s="252">
        <f t="shared" si="13"/>
        <v>2013</v>
      </c>
      <c r="D50" s="363"/>
      <c r="E50" s="363"/>
      <c r="F50" s="363"/>
      <c r="G50" s="363"/>
      <c r="H50" s="363"/>
      <c r="I50" s="363">
        <v>119960.66399400179</v>
      </c>
      <c r="J50" s="363">
        <v>124639.24993045897</v>
      </c>
      <c r="K50" s="73"/>
    </row>
    <row r="51" spans="1:12">
      <c r="A51" s="466"/>
      <c r="B51" s="466"/>
      <c r="C51" s="252">
        <f t="shared" si="13"/>
        <v>2014</v>
      </c>
      <c r="D51" s="363"/>
      <c r="E51" s="363"/>
      <c r="F51" s="363"/>
      <c r="G51" s="363"/>
      <c r="H51" s="363">
        <v>119990.02001745593</v>
      </c>
      <c r="I51" s="363">
        <v>126657.46586317931</v>
      </c>
      <c r="J51" s="363">
        <v>130554.99999999999</v>
      </c>
      <c r="K51" s="73"/>
    </row>
    <row r="52" spans="1:12">
      <c r="A52" s="466"/>
      <c r="B52" s="466"/>
      <c r="C52" s="252">
        <f t="shared" si="13"/>
        <v>2015</v>
      </c>
      <c r="D52" s="363"/>
      <c r="E52" s="363"/>
      <c r="F52" s="363"/>
      <c r="G52" s="363">
        <v>115937.73660233933</v>
      </c>
      <c r="H52" s="363">
        <v>126755.99195718563</v>
      </c>
      <c r="I52" s="363">
        <v>132244</v>
      </c>
      <c r="J52" s="363">
        <v>135967</v>
      </c>
      <c r="K52" s="73"/>
    </row>
    <row r="53" spans="1:12">
      <c r="A53" s="466"/>
      <c r="B53" s="466"/>
      <c r="C53" s="252">
        <f t="shared" si="13"/>
        <v>2016</v>
      </c>
      <c r="D53" s="363"/>
      <c r="E53" s="363"/>
      <c r="F53" s="363">
        <v>103859.99999999999</v>
      </c>
      <c r="G53" s="363">
        <v>121585.99999999999</v>
      </c>
      <c r="H53" s="363">
        <v>130436.99999999999</v>
      </c>
      <c r="I53" s="363">
        <v>135861</v>
      </c>
      <c r="J53" s="363"/>
      <c r="K53" s="73"/>
    </row>
    <row r="54" spans="1:12">
      <c r="A54" s="466"/>
      <c r="B54" s="466"/>
      <c r="C54" s="252">
        <f t="shared" si="13"/>
        <v>2017</v>
      </c>
      <c r="D54" s="363"/>
      <c r="E54" s="363">
        <v>80736.000000000015</v>
      </c>
      <c r="F54" s="363">
        <v>107524.00000000001</v>
      </c>
      <c r="G54" s="363">
        <v>122292</v>
      </c>
      <c r="H54" s="363">
        <v>131112</v>
      </c>
      <c r="I54" s="363"/>
      <c r="J54" s="363"/>
      <c r="K54" s="73"/>
    </row>
    <row r="55" spans="1:12">
      <c r="A55" s="466"/>
      <c r="B55" s="466"/>
      <c r="C55" s="252">
        <f t="shared" si="13"/>
        <v>2018</v>
      </c>
      <c r="D55" s="363">
        <v>37254.000000000007</v>
      </c>
      <c r="E55" s="363">
        <v>82615.000000000015</v>
      </c>
      <c r="F55" s="363">
        <v>107185.00000000001</v>
      </c>
      <c r="G55" s="363">
        <v>122951</v>
      </c>
      <c r="H55" s="363"/>
      <c r="I55" s="363"/>
      <c r="J55" s="363" t="s">
        <v>34</v>
      </c>
      <c r="K55" s="73"/>
    </row>
    <row r="56" spans="1:12">
      <c r="A56" s="466"/>
      <c r="B56" s="466"/>
      <c r="C56" s="252">
        <f>+C57-1</f>
        <v>2019</v>
      </c>
      <c r="D56" s="363">
        <v>37947</v>
      </c>
      <c r="E56" s="363">
        <v>80502</v>
      </c>
      <c r="F56" s="363">
        <v>105790</v>
      </c>
      <c r="G56" s="363"/>
      <c r="H56" s="363"/>
      <c r="I56" s="363" t="s">
        <v>34</v>
      </c>
      <c r="J56" s="363" t="s">
        <v>34</v>
      </c>
      <c r="K56" s="73"/>
    </row>
    <row r="57" spans="1:12">
      <c r="A57" s="466"/>
      <c r="B57" s="466"/>
      <c r="C57" s="252">
        <f>+C20</f>
        <v>2020</v>
      </c>
      <c r="D57" s="363">
        <v>31842</v>
      </c>
      <c r="E57" s="363">
        <v>68458</v>
      </c>
      <c r="F57" s="363"/>
      <c r="G57" s="363"/>
      <c r="H57" s="363" t="s">
        <v>34</v>
      </c>
      <c r="I57" s="363" t="s">
        <v>34</v>
      </c>
      <c r="J57" s="363" t="s">
        <v>34</v>
      </c>
      <c r="K57" s="73"/>
    </row>
    <row r="58" spans="1:12">
      <c r="A58" s="466"/>
      <c r="B58" s="466"/>
      <c r="C58" s="252">
        <f>+C21</f>
        <v>2021</v>
      </c>
      <c r="D58" s="363">
        <v>36793</v>
      </c>
      <c r="E58" s="363"/>
      <c r="F58" s="363"/>
      <c r="G58" s="363"/>
      <c r="H58" s="363"/>
      <c r="I58" s="363"/>
      <c r="J58" s="363"/>
      <c r="K58" s="73"/>
    </row>
    <row r="59" spans="1:12">
      <c r="A59" s="466"/>
      <c r="B59" s="466"/>
      <c r="C59" s="252"/>
      <c r="D59" s="466"/>
      <c r="E59" s="466"/>
      <c r="F59" s="466"/>
      <c r="G59" s="466"/>
      <c r="H59" s="466"/>
      <c r="I59" s="466"/>
      <c r="J59" s="466"/>
      <c r="K59" s="466"/>
    </row>
    <row r="60" spans="1:12">
      <c r="A60" s="466"/>
      <c r="B60" s="466" t="s">
        <v>482</v>
      </c>
      <c r="C60" s="466"/>
      <c r="D60" s="466"/>
      <c r="E60" s="466"/>
      <c r="F60" s="466"/>
      <c r="G60" s="466"/>
      <c r="H60" s="466"/>
      <c r="I60" s="466"/>
      <c r="J60" s="466"/>
      <c r="K60" s="466"/>
    </row>
    <row r="61" spans="1:12" ht="45" customHeight="1">
      <c r="A61" s="466"/>
      <c r="B61" s="466"/>
      <c r="C61" s="466"/>
      <c r="D61" s="466"/>
      <c r="E61" s="466"/>
      <c r="F61" s="466"/>
      <c r="G61" s="466"/>
      <c r="H61" s="466"/>
      <c r="I61" s="466"/>
      <c r="J61" s="466"/>
      <c r="K61" s="466"/>
      <c r="L61" s="143" t="s">
        <v>357</v>
      </c>
    </row>
    <row r="62" spans="1:12" s="466" customFormat="1" ht="12.75">
      <c r="A62" s="245" t="s">
        <v>31</v>
      </c>
      <c r="B62" s="245"/>
      <c r="C62" s="245"/>
      <c r="D62" s="245"/>
      <c r="E62" s="245"/>
      <c r="F62" s="245"/>
      <c r="G62" s="245"/>
      <c r="H62" s="245"/>
      <c r="I62" s="245"/>
      <c r="J62" s="245"/>
      <c r="K62" s="245"/>
      <c r="L62" s="245"/>
    </row>
    <row r="63" spans="1:12" s="466" customFormat="1" ht="12.75">
      <c r="A63" s="245" t="s">
        <v>247</v>
      </c>
      <c r="B63" s="245"/>
      <c r="C63" s="245"/>
      <c r="D63" s="245"/>
      <c r="E63" s="245"/>
      <c r="F63" s="245"/>
      <c r="G63" s="245"/>
      <c r="H63" s="245"/>
      <c r="I63" s="245"/>
      <c r="J63" s="245"/>
      <c r="K63" s="245"/>
      <c r="L63" s="245"/>
    </row>
    <row r="64" spans="1:12" s="466" customFormat="1" ht="12.75">
      <c r="A64" s="245" t="s">
        <v>248</v>
      </c>
      <c r="B64" s="245"/>
      <c r="C64" s="245"/>
      <c r="D64" s="245"/>
      <c r="E64" s="245"/>
      <c r="F64" s="245"/>
      <c r="G64" s="245"/>
      <c r="H64" s="245"/>
      <c r="I64" s="245"/>
      <c r="J64" s="245"/>
      <c r="K64" s="245"/>
      <c r="L64" s="245"/>
    </row>
    <row r="65" spans="1:12" s="466" customFormat="1" ht="12.75">
      <c r="A65" s="298"/>
      <c r="B65" s="298"/>
      <c r="C65" s="298"/>
      <c r="D65" s="298"/>
      <c r="E65" s="298"/>
      <c r="F65" s="298"/>
      <c r="G65" s="298"/>
      <c r="H65" s="298"/>
      <c r="I65" s="298"/>
      <c r="J65" s="298"/>
      <c r="K65" s="298"/>
      <c r="L65" s="298"/>
    </row>
    <row r="66" spans="1:12" s="466" customFormat="1" ht="12.75"/>
    <row r="67" spans="1:12" s="466" customFormat="1" ht="12.75">
      <c r="A67" s="467"/>
      <c r="B67" s="467" t="s">
        <v>295</v>
      </c>
      <c r="C67" s="467"/>
      <c r="D67" s="467"/>
      <c r="E67" s="467"/>
      <c r="F67" s="467"/>
      <c r="G67" s="467"/>
      <c r="H67" s="467"/>
      <c r="I67" s="467"/>
      <c r="J67" s="467"/>
      <c r="K67" s="467"/>
    </row>
    <row r="68" spans="1:12" s="466" customFormat="1" ht="12.75"/>
    <row r="69" spans="1:12" s="466" customFormat="1" ht="12.75">
      <c r="C69" s="252" t="s">
        <v>197</v>
      </c>
      <c r="D69" s="518" t="s">
        <v>294</v>
      </c>
      <c r="E69" s="518"/>
      <c r="F69" s="518"/>
      <c r="G69" s="518"/>
      <c r="H69" s="518"/>
      <c r="I69" s="518"/>
      <c r="J69" s="518"/>
      <c r="K69" s="252"/>
    </row>
    <row r="70" spans="1:12" s="466" customFormat="1" ht="12.75">
      <c r="C70" s="26" t="s">
        <v>8</v>
      </c>
      <c r="D70" s="77">
        <f>D47</f>
        <v>12</v>
      </c>
      <c r="E70" s="77">
        <f t="shared" ref="E70:J70" si="14">E47</f>
        <v>24</v>
      </c>
      <c r="F70" s="77">
        <f t="shared" si="14"/>
        <v>36</v>
      </c>
      <c r="G70" s="77">
        <f t="shared" si="14"/>
        <v>48</v>
      </c>
      <c r="H70" s="77">
        <f t="shared" si="14"/>
        <v>60</v>
      </c>
      <c r="I70" s="77">
        <f t="shared" si="14"/>
        <v>72</v>
      </c>
      <c r="J70" s="77">
        <f t="shared" si="14"/>
        <v>84</v>
      </c>
      <c r="K70" s="77"/>
      <c r="L70" s="26"/>
    </row>
    <row r="71" spans="1:12" s="466" customFormat="1" ht="4.5" customHeight="1"/>
    <row r="72" spans="1:12" s="466" customFormat="1" ht="12.75">
      <c r="C72" s="252">
        <f>C49</f>
        <v>2012</v>
      </c>
      <c r="D72" s="475"/>
      <c r="E72" s="475"/>
      <c r="F72" s="475"/>
      <c r="G72" s="475"/>
      <c r="H72" s="481"/>
      <c r="I72" s="481"/>
      <c r="J72" s="481">
        <v>0.91543021999265206</v>
      </c>
      <c r="K72" s="475"/>
      <c r="L72" s="475"/>
    </row>
    <row r="73" spans="1:12" s="466" customFormat="1" ht="12.75">
      <c r="C73" s="252">
        <f t="shared" ref="C73:C81" si="15">C50</f>
        <v>2013</v>
      </c>
      <c r="D73" s="475"/>
      <c r="E73" s="475"/>
      <c r="F73" s="475"/>
      <c r="G73" s="475"/>
      <c r="H73" s="481"/>
      <c r="I73" s="481">
        <v>0.89093996729495428</v>
      </c>
      <c r="J73" s="481">
        <v>0.92568751755378098</v>
      </c>
      <c r="K73" s="475"/>
      <c r="L73" s="475"/>
    </row>
    <row r="74" spans="1:12" s="466" customFormat="1" ht="12.75">
      <c r="C74" s="252">
        <f t="shared" si="15"/>
        <v>2014</v>
      </c>
      <c r="D74" s="475"/>
      <c r="E74" s="475"/>
      <c r="F74" s="475"/>
      <c r="G74" s="475"/>
      <c r="H74" s="481">
        <v>0.8534825126784199</v>
      </c>
      <c r="I74" s="481">
        <v>0.90090769381204616</v>
      </c>
      <c r="J74" s="481">
        <v>0.92863064300281795</v>
      </c>
      <c r="K74" s="475"/>
      <c r="L74" s="475"/>
    </row>
    <row r="75" spans="1:12" s="466" customFormat="1" ht="12.75">
      <c r="C75" s="252">
        <f t="shared" si="15"/>
        <v>2015</v>
      </c>
      <c r="D75" s="475"/>
      <c r="E75" s="475"/>
      <c r="F75" s="475"/>
      <c r="G75" s="141">
        <f>G52/HLOOKUP($C75,$D$41:$J$42,2,FALSE)</f>
        <v>0.79466948749003008</v>
      </c>
      <c r="H75" s="141">
        <f t="shared" ref="H75:J77" si="16">H52/HLOOKUP($C75,$D$41:$J$42,2,FALSE)</f>
        <v>0.86882081811207823</v>
      </c>
      <c r="I75" s="141">
        <f t="shared" si="16"/>
        <v>0.90643715138312519</v>
      </c>
      <c r="J75" s="141">
        <f t="shared" si="16"/>
        <v>0.93195562870231829</v>
      </c>
      <c r="K75" s="475"/>
    </row>
    <row r="76" spans="1:12" s="466" customFormat="1" ht="12.75">
      <c r="C76" s="252">
        <f t="shared" si="15"/>
        <v>2016</v>
      </c>
      <c r="D76" s="475"/>
      <c r="E76" s="475"/>
      <c r="F76" s="141">
        <f>F53/HLOOKUP($C76,$D$41:$J$42,2,FALSE)</f>
        <v>0.69551384765008417</v>
      </c>
      <c r="G76" s="141">
        <f t="shared" ref="G76" si="17">G53/HLOOKUP($C76,$D$41:$J$42,2,FALSE)</f>
        <v>0.8142186277718384</v>
      </c>
      <c r="H76" s="141">
        <f t="shared" si="16"/>
        <v>0.87349065805829029</v>
      </c>
      <c r="I76" s="141">
        <f t="shared" si="16"/>
        <v>0.90981327609847962</v>
      </c>
      <c r="J76" s="475"/>
      <c r="K76" s="475"/>
    </row>
    <row r="77" spans="1:12" s="466" customFormat="1" ht="12.75">
      <c r="C77" s="252">
        <f t="shared" si="15"/>
        <v>2017</v>
      </c>
      <c r="D77" s="475"/>
      <c r="E77" s="141">
        <f>E54/HLOOKUP($C77,$D$41:$J$42,2,FALSE)</f>
        <v>0.53820069868932507</v>
      </c>
      <c r="F77" s="141">
        <f t="shared" ref="F77:G77" si="18">F54/HLOOKUP($C77,$D$41:$J$42,2,FALSE)</f>
        <v>0.71677432528080387</v>
      </c>
      <c r="G77" s="141">
        <f t="shared" si="18"/>
        <v>0.81522046972992135</v>
      </c>
      <c r="H77" s="141">
        <f t="shared" si="16"/>
        <v>0.87401617626033956</v>
      </c>
      <c r="I77" s="475"/>
      <c r="J77" s="475"/>
      <c r="K77" s="475"/>
    </row>
    <row r="78" spans="1:12" s="466" customFormat="1" ht="12.75">
      <c r="C78" s="252">
        <f t="shared" si="15"/>
        <v>2018</v>
      </c>
      <c r="D78" s="141">
        <f>D55/HLOOKUP($C78,$D$41:$J$42,2,FALSE)</f>
        <v>0.24340249258403679</v>
      </c>
      <c r="E78" s="141">
        <f t="shared" ref="D78:E81" si="19">E55/HLOOKUP($C78,$D$41:$J$42,2,FALSE)</f>
        <v>0.5397728277454823</v>
      </c>
      <c r="F78" s="141">
        <f t="shared" ref="F78:G78" si="20">F55/HLOOKUP($C78,$D$41:$J$42,2,FALSE)</f>
        <v>0.70030322026144798</v>
      </c>
      <c r="G78" s="141">
        <f t="shared" si="20"/>
        <v>0.80331185552423634</v>
      </c>
      <c r="H78" s="475"/>
      <c r="I78" s="475"/>
      <c r="J78" s="475"/>
      <c r="K78" s="475"/>
    </row>
    <row r="79" spans="1:12" s="466" customFormat="1" ht="12.75">
      <c r="C79" s="252">
        <f t="shared" si="15"/>
        <v>2019</v>
      </c>
      <c r="D79" s="141">
        <f t="shared" si="19"/>
        <v>0.24304588806682009</v>
      </c>
      <c r="E79" s="141">
        <f t="shared" si="19"/>
        <v>0.51560545184481388</v>
      </c>
      <c r="F79" s="141">
        <f t="shared" ref="F79" si="21">F56/HLOOKUP($C79,$D$41:$J$42,2,FALSE)</f>
        <v>0.67757199511394572</v>
      </c>
      <c r="G79" s="475"/>
      <c r="H79" s="475"/>
      <c r="I79" s="475"/>
      <c r="J79" s="475"/>
      <c r="K79" s="475"/>
    </row>
    <row r="80" spans="1:12" s="466" customFormat="1" ht="12.75">
      <c r="C80" s="252">
        <f t="shared" si="15"/>
        <v>2020</v>
      </c>
      <c r="D80" s="141">
        <f t="shared" si="19"/>
        <v>0.23412248951687725</v>
      </c>
      <c r="E80" s="141">
        <f t="shared" si="19"/>
        <v>0.50334644140903162</v>
      </c>
      <c r="F80" s="475"/>
      <c r="G80" s="475"/>
      <c r="H80" s="475"/>
      <c r="I80" s="475"/>
      <c r="J80" s="475"/>
      <c r="K80" s="475"/>
    </row>
    <row r="81" spans="1:12" s="466" customFormat="1" ht="12.75">
      <c r="C81" s="252">
        <f t="shared" si="15"/>
        <v>2021</v>
      </c>
      <c r="D81" s="141">
        <f t="shared" si="19"/>
        <v>0.24529530931934157</v>
      </c>
      <c r="E81" s="475"/>
      <c r="F81" s="475"/>
      <c r="G81" s="475"/>
      <c r="H81" s="475"/>
      <c r="I81" s="475"/>
      <c r="J81" s="475"/>
      <c r="K81" s="475"/>
    </row>
    <row r="82" spans="1:12" s="466" customFormat="1" ht="12.75">
      <c r="C82" s="252"/>
      <c r="D82" s="475"/>
      <c r="E82" s="475"/>
      <c r="F82" s="475"/>
      <c r="G82" s="475"/>
      <c r="H82" s="475"/>
      <c r="I82" s="475"/>
      <c r="J82" s="475"/>
      <c r="K82" s="475"/>
    </row>
    <row r="83" spans="1:12" s="466" customFormat="1" ht="12.75">
      <c r="A83" s="467"/>
      <c r="B83" s="467" t="s">
        <v>296</v>
      </c>
      <c r="C83" s="467"/>
      <c r="D83" s="467"/>
      <c r="E83" s="467"/>
      <c r="F83" s="467"/>
      <c r="G83" s="467"/>
      <c r="H83" s="467"/>
      <c r="I83" s="467"/>
      <c r="J83" s="467"/>
      <c r="K83" s="467"/>
      <c r="L83" s="467"/>
    </row>
    <row r="84" spans="1:12" s="466" customFormat="1" ht="12.75"/>
    <row r="85" spans="1:12" s="466" customFormat="1" ht="12.75">
      <c r="C85" s="252" t="s">
        <v>197</v>
      </c>
      <c r="D85" s="518" t="s">
        <v>294</v>
      </c>
      <c r="E85" s="518"/>
      <c r="F85" s="518"/>
      <c r="G85" s="518"/>
      <c r="H85" s="518"/>
      <c r="I85" s="518"/>
      <c r="J85" s="518"/>
      <c r="K85" s="252"/>
    </row>
    <row r="86" spans="1:12" s="466" customFormat="1" ht="12.75">
      <c r="C86" s="26" t="s">
        <v>8</v>
      </c>
      <c r="D86" s="77">
        <f t="shared" ref="D86:J86" si="22">+D70</f>
        <v>12</v>
      </c>
      <c r="E86" s="77">
        <f t="shared" si="22"/>
        <v>24</v>
      </c>
      <c r="F86" s="77">
        <f t="shared" si="22"/>
        <v>36</v>
      </c>
      <c r="G86" s="77">
        <f t="shared" si="22"/>
        <v>48</v>
      </c>
      <c r="H86" s="77">
        <f t="shared" si="22"/>
        <v>60</v>
      </c>
      <c r="I86" s="77">
        <f t="shared" si="22"/>
        <v>72</v>
      </c>
      <c r="J86" s="77">
        <f t="shared" si="22"/>
        <v>84</v>
      </c>
      <c r="K86" s="77"/>
    </row>
    <row r="87" spans="1:12" s="466" customFormat="1" ht="4.5" customHeight="1"/>
    <row r="88" spans="1:12" s="466" customFormat="1" ht="12.75">
      <c r="C88" s="252">
        <f t="shared" ref="C88:C97" si="23">+C72</f>
        <v>2012</v>
      </c>
      <c r="D88" s="156"/>
      <c r="E88" s="156"/>
      <c r="F88" s="156"/>
      <c r="G88" s="156"/>
      <c r="H88" s="482"/>
      <c r="I88" s="482"/>
      <c r="J88" s="482">
        <v>117444.63270954756</v>
      </c>
      <c r="K88" s="156"/>
    </row>
    <row r="89" spans="1:12" s="466" customFormat="1" ht="12.75">
      <c r="C89" s="252">
        <f t="shared" si="23"/>
        <v>2013</v>
      </c>
      <c r="D89" s="156"/>
      <c r="E89" s="156"/>
      <c r="F89" s="156"/>
      <c r="G89" s="156"/>
      <c r="H89" s="482"/>
      <c r="I89" s="482">
        <v>122501.86176146619</v>
      </c>
      <c r="J89" s="482">
        <v>125483.22012258059</v>
      </c>
      <c r="K89" s="156"/>
    </row>
    <row r="90" spans="1:12" s="466" customFormat="1" ht="12.75">
      <c r="C90" s="252">
        <f t="shared" si="23"/>
        <v>2014</v>
      </c>
      <c r="D90" s="156"/>
      <c r="E90" s="156"/>
      <c r="F90" s="156"/>
      <c r="G90" s="156"/>
      <c r="H90" s="482">
        <v>122876.82164212446</v>
      </c>
      <c r="I90" s="482">
        <v>127909.49034047389</v>
      </c>
      <c r="J90" s="482">
        <v>131022.45550695437</v>
      </c>
      <c r="K90" s="156"/>
    </row>
    <row r="91" spans="1:12" s="466" customFormat="1" ht="12.75">
      <c r="C91" s="252">
        <f t="shared" si="23"/>
        <v>2015</v>
      </c>
      <c r="D91" s="156"/>
      <c r="E91" s="156"/>
      <c r="F91" s="156"/>
      <c r="G91" s="142">
        <f t="shared" ref="G91" si="24">HLOOKUP($C91,$D$41:$J$42,2,FALSE)*G$78</f>
        <v>117198.60870645776</v>
      </c>
      <c r="H91" s="142">
        <f>HLOOKUP($C91,$D$41:$J$42,2,FALSE)*H$77</f>
        <v>127513.96501898071</v>
      </c>
      <c r="I91" s="142">
        <f>HLOOKUP($C91,$D$41:$J$42,2,FALSE)*I$76</f>
        <v>132736.55730105066</v>
      </c>
      <c r="J91" s="142">
        <f>HLOOKUP($C91,$D$41:$J$42,2,FALSE)*J$75</f>
        <v>135967</v>
      </c>
      <c r="K91" s="156"/>
    </row>
    <row r="92" spans="1:12" s="466" customFormat="1" ht="12.75">
      <c r="C92" s="252">
        <f t="shared" si="23"/>
        <v>2016</v>
      </c>
      <c r="D92" s="156"/>
      <c r="E92" s="156"/>
      <c r="F92" s="142">
        <f>HLOOKUP($C92,$D$41:$J$42,2,FALSE)*F$79</f>
        <v>101180.77109506977</v>
      </c>
      <c r="G92" s="142">
        <f>HLOOKUP($C92,$D$41:$J$42,2,FALSE)*G$78</f>
        <v>119957.30868139687</v>
      </c>
      <c r="H92" s="142">
        <f t="shared" ref="H92:H93" si="25">HLOOKUP($C92,$D$41:$J$42,2,FALSE)*H$77</f>
        <v>130515.47481491453</v>
      </c>
      <c r="I92" s="142">
        <f>HLOOKUP($C92,$D$41:$J$42,2,FALSE)*I$76</f>
        <v>135861</v>
      </c>
      <c r="J92" s="156"/>
      <c r="K92" s="156"/>
    </row>
    <row r="93" spans="1:12" s="466" customFormat="1" ht="12.75">
      <c r="C93" s="252">
        <f t="shared" si="23"/>
        <v>2017</v>
      </c>
      <c r="D93" s="156"/>
      <c r="E93" s="142">
        <f>HLOOKUP($C93,$D$41:$J$42,2,FALSE)*E$80</f>
        <v>75507.479630861402</v>
      </c>
      <c r="F93" s="142">
        <f t="shared" ref="F93:F95" si="26">HLOOKUP($C93,$D$41:$J$42,2,FALSE)*F$79</f>
        <v>101643.22107113713</v>
      </c>
      <c r="G93" s="142">
        <f t="shared" ref="G93:G94" si="27">HLOOKUP($C93,$D$41:$J$42,2,FALSE)*G$78</f>
        <v>120505.57742780415</v>
      </c>
      <c r="H93" s="142">
        <f t="shared" si="25"/>
        <v>131112</v>
      </c>
      <c r="I93" s="156"/>
      <c r="J93" s="156"/>
      <c r="K93" s="156"/>
    </row>
    <row r="94" spans="1:12" s="466" customFormat="1" ht="12.75">
      <c r="C94" s="252">
        <f t="shared" si="23"/>
        <v>2018</v>
      </c>
      <c r="D94" s="142">
        <f>HLOOKUP($C94,$D$41:$J$42,2,FALSE)*D$81</f>
        <v>37543.705310362428</v>
      </c>
      <c r="E94" s="142">
        <f t="shared" ref="E94:E96" si="28">HLOOKUP($C94,$D$41:$J$42,2,FALSE)*E$80</f>
        <v>77039.754725510444</v>
      </c>
      <c r="F94" s="142">
        <f t="shared" si="26"/>
        <v>103705.86939351013</v>
      </c>
      <c r="G94" s="142">
        <f t="shared" si="27"/>
        <v>122951</v>
      </c>
      <c r="H94" s="156"/>
      <c r="I94" s="156"/>
      <c r="J94" s="156"/>
      <c r="K94" s="156"/>
    </row>
    <row r="95" spans="1:12" s="466" customFormat="1" ht="12.75">
      <c r="C95" s="252">
        <f t="shared" si="23"/>
        <v>2019</v>
      </c>
      <c r="D95" s="142">
        <f t="shared" ref="D95:D97" si="29">HLOOKUP($C95,$D$41:$J$42,2,FALSE)*D$81</f>
        <v>38298.204412254716</v>
      </c>
      <c r="E95" s="142">
        <f t="shared" si="28"/>
        <v>78587.988318063071</v>
      </c>
      <c r="F95" s="142">
        <f t="shared" si="26"/>
        <v>105790</v>
      </c>
      <c r="G95" s="156"/>
      <c r="H95" s="156"/>
      <c r="I95" s="156"/>
      <c r="J95" s="156"/>
      <c r="K95" s="156"/>
    </row>
    <row r="96" spans="1:12" s="466" customFormat="1" ht="12.75">
      <c r="C96" s="252">
        <f t="shared" si="23"/>
        <v>2020</v>
      </c>
      <c r="D96" s="142">
        <f t="shared" si="29"/>
        <v>33361.567508803644</v>
      </c>
      <c r="E96" s="142">
        <f t="shared" si="28"/>
        <v>68458</v>
      </c>
      <c r="F96" s="156"/>
      <c r="G96" s="156"/>
      <c r="H96" s="156"/>
      <c r="I96" s="156"/>
      <c r="J96" s="156"/>
      <c r="K96" s="156"/>
    </row>
    <row r="97" spans="1:11" s="466" customFormat="1" ht="12.75">
      <c r="C97" s="252">
        <f t="shared" si="23"/>
        <v>2021</v>
      </c>
      <c r="D97" s="142">
        <f t="shared" si="29"/>
        <v>36793</v>
      </c>
      <c r="E97" s="156"/>
      <c r="F97" s="156"/>
      <c r="G97" s="156"/>
      <c r="H97" s="156"/>
      <c r="I97" s="156"/>
      <c r="J97" s="156"/>
      <c r="K97" s="156"/>
    </row>
    <row r="98" spans="1:11" s="466" customFormat="1" ht="12.75">
      <c r="C98" s="252"/>
      <c r="D98" s="156"/>
      <c r="E98" s="156"/>
      <c r="F98" s="156"/>
      <c r="G98" s="156"/>
      <c r="H98" s="156"/>
      <c r="I98" s="156"/>
      <c r="J98" s="156"/>
      <c r="K98" s="156"/>
    </row>
    <row r="99" spans="1:11" s="466" customFormat="1" ht="12.75">
      <c r="A99" s="467"/>
      <c r="B99" s="467" t="s">
        <v>255</v>
      </c>
      <c r="C99" s="467"/>
      <c r="D99" s="467"/>
      <c r="E99" s="467"/>
      <c r="F99" s="467"/>
      <c r="G99" s="467"/>
      <c r="H99" s="467"/>
      <c r="I99" s="467"/>
      <c r="J99" s="467"/>
      <c r="K99" s="467"/>
    </row>
    <row r="100" spans="1:11" s="466" customFormat="1" ht="12.75"/>
    <row r="101" spans="1:11" s="466" customFormat="1" ht="12.75">
      <c r="C101" s="252" t="s">
        <v>197</v>
      </c>
      <c r="D101" s="518" t="s">
        <v>294</v>
      </c>
      <c r="E101" s="518"/>
      <c r="F101" s="518"/>
      <c r="G101" s="518"/>
      <c r="H101" s="518"/>
      <c r="I101" s="518"/>
      <c r="J101" s="518"/>
      <c r="K101" s="252"/>
    </row>
    <row r="102" spans="1:11" s="466" customFormat="1" ht="12.75">
      <c r="C102" s="26" t="s">
        <v>8</v>
      </c>
      <c r="D102" s="77">
        <f t="shared" ref="D102:J102" si="30">+D70</f>
        <v>12</v>
      </c>
      <c r="E102" s="77">
        <f t="shared" si="30"/>
        <v>24</v>
      </c>
      <c r="F102" s="77">
        <f t="shared" si="30"/>
        <v>36</v>
      </c>
      <c r="G102" s="77">
        <f t="shared" si="30"/>
        <v>48</v>
      </c>
      <c r="H102" s="77">
        <f t="shared" si="30"/>
        <v>60</v>
      </c>
      <c r="I102" s="77">
        <f t="shared" si="30"/>
        <v>72</v>
      </c>
      <c r="J102" s="77">
        <f t="shared" si="30"/>
        <v>84</v>
      </c>
      <c r="K102" s="77"/>
    </row>
    <row r="103" spans="1:11" s="466" customFormat="1" ht="4.5" customHeight="1"/>
    <row r="104" spans="1:11" s="466" customFormat="1" ht="12.75">
      <c r="C104" s="252">
        <f t="shared" ref="C104:C111" si="31">+C72</f>
        <v>2012</v>
      </c>
      <c r="D104" s="482"/>
      <c r="E104" s="482"/>
      <c r="F104" s="482"/>
      <c r="G104" s="482"/>
      <c r="H104" s="482"/>
      <c r="I104" s="482"/>
      <c r="J104" s="482">
        <v>18340.922421784693</v>
      </c>
      <c r="K104" s="156"/>
    </row>
    <row r="105" spans="1:11" s="466" customFormat="1" ht="12.75">
      <c r="C105" s="252">
        <f t="shared" si="31"/>
        <v>2013</v>
      </c>
      <c r="D105" s="482"/>
      <c r="E105" s="482"/>
      <c r="F105" s="482"/>
      <c r="G105" s="482"/>
      <c r="H105" s="482"/>
      <c r="I105" s="482">
        <v>17097.385726638979</v>
      </c>
      <c r="J105" s="482">
        <v>18227.60492551374</v>
      </c>
      <c r="K105" s="156"/>
    </row>
    <row r="106" spans="1:11" s="466" customFormat="1" ht="12.75">
      <c r="C106" s="252">
        <f t="shared" si="31"/>
        <v>2014</v>
      </c>
      <c r="D106" s="482"/>
      <c r="E106" s="482"/>
      <c r="F106" s="482"/>
      <c r="G106" s="482"/>
      <c r="H106" s="482">
        <v>16329.665486545246</v>
      </c>
      <c r="I106" s="482">
        <v>17926.000860154134</v>
      </c>
      <c r="J106" s="482">
        <v>18996.228784803341</v>
      </c>
      <c r="K106" s="156"/>
    </row>
    <row r="107" spans="1:11" s="466" customFormat="1" ht="12.75">
      <c r="C107" s="252">
        <f t="shared" si="31"/>
        <v>2015</v>
      </c>
      <c r="D107" s="482"/>
      <c r="E107" s="482"/>
      <c r="F107" s="482"/>
      <c r="G107" s="482">
        <v>14494.392910873692</v>
      </c>
      <c r="H107" s="482">
        <v>16892.178034712811</v>
      </c>
      <c r="I107" s="482">
        <v>18271.223541332689</v>
      </c>
      <c r="J107" s="482">
        <v>19248.140953319555</v>
      </c>
      <c r="K107" s="156"/>
    </row>
    <row r="108" spans="1:11" s="466" customFormat="1" ht="12.75">
      <c r="C108" s="252">
        <f t="shared" si="31"/>
        <v>2016</v>
      </c>
      <c r="D108" s="482"/>
      <c r="E108" s="482"/>
      <c r="F108" s="482">
        <v>11034.790448680918</v>
      </c>
      <c r="G108" s="482">
        <v>14479.584096853258</v>
      </c>
      <c r="H108" s="482">
        <v>16452.243726856646</v>
      </c>
      <c r="I108" s="482">
        <v>17799.809599517153</v>
      </c>
      <c r="J108" s="482"/>
      <c r="K108" s="156"/>
    </row>
    <row r="109" spans="1:11" s="466" customFormat="1" ht="12.75">
      <c r="C109" s="252">
        <f t="shared" si="31"/>
        <v>2017</v>
      </c>
      <c r="D109" s="482"/>
      <c r="E109" s="482">
        <v>6646.5612985533089</v>
      </c>
      <c r="F109" s="482">
        <v>11144.60604144191</v>
      </c>
      <c r="G109" s="482">
        <v>14344.680706832827</v>
      </c>
      <c r="H109" s="482">
        <v>16458.766276160841</v>
      </c>
      <c r="I109" s="482"/>
      <c r="J109" s="482"/>
      <c r="K109" s="156"/>
    </row>
    <row r="110" spans="1:11" s="466" customFormat="1" ht="12.75">
      <c r="C110" s="252">
        <f t="shared" si="31"/>
        <v>2018</v>
      </c>
      <c r="D110" s="482">
        <v>2874.4897192247809</v>
      </c>
      <c r="E110" s="482">
        <v>7039.372995218785</v>
      </c>
      <c r="F110" s="482">
        <v>11385.174660633482</v>
      </c>
      <c r="G110" s="482">
        <v>14613.701368837992</v>
      </c>
      <c r="H110" s="482"/>
      <c r="I110" s="482"/>
      <c r="J110" s="482"/>
      <c r="K110" s="156"/>
    </row>
    <row r="111" spans="1:11" s="466" customFormat="1" ht="12.75">
      <c r="C111" s="252">
        <f t="shared" si="31"/>
        <v>2019</v>
      </c>
      <c r="D111" s="482">
        <v>3156.2409149603395</v>
      </c>
      <c r="E111" s="482">
        <v>7058.5439119524981</v>
      </c>
      <c r="F111" s="482">
        <v>11430.342244068437</v>
      </c>
      <c r="G111" s="482"/>
      <c r="H111" s="482"/>
      <c r="I111" s="482"/>
      <c r="J111" s="482"/>
      <c r="K111" s="156"/>
    </row>
    <row r="112" spans="1:11" s="466" customFormat="1" ht="12.75">
      <c r="C112" s="252">
        <f>+C80</f>
        <v>2020</v>
      </c>
      <c r="D112" s="482">
        <v>3300.8895744614028</v>
      </c>
      <c r="E112" s="482">
        <v>7746.5773759093163</v>
      </c>
      <c r="F112" s="482"/>
      <c r="G112" s="482"/>
      <c r="H112" s="482"/>
      <c r="I112" s="482"/>
      <c r="J112" s="482"/>
      <c r="K112" s="156"/>
    </row>
    <row r="113" spans="1:12" s="466" customFormat="1" ht="12.75">
      <c r="C113" s="252">
        <f>+C81</f>
        <v>2021</v>
      </c>
      <c r="D113" s="482">
        <v>3255.1027369336557</v>
      </c>
      <c r="E113" s="482"/>
      <c r="F113" s="482"/>
      <c r="G113" s="482"/>
      <c r="H113" s="482"/>
      <c r="I113" s="482"/>
      <c r="J113" s="482"/>
      <c r="K113" s="156"/>
    </row>
    <row r="114" spans="1:12" s="466" customFormat="1" ht="12.75">
      <c r="D114" s="156"/>
      <c r="E114" s="156"/>
      <c r="F114" s="156"/>
      <c r="G114" s="156"/>
      <c r="H114" s="156"/>
      <c r="I114" s="156"/>
      <c r="J114" s="156"/>
      <c r="K114" s="156"/>
    </row>
    <row r="115" spans="1:12" s="466" customFormat="1" ht="12.75">
      <c r="D115" s="156"/>
      <c r="E115" s="156"/>
      <c r="F115" s="156"/>
      <c r="G115" s="156"/>
      <c r="H115" s="156"/>
      <c r="I115" s="156"/>
      <c r="J115" s="156"/>
      <c r="K115" s="156"/>
    </row>
    <row r="116" spans="1:12" s="466" customFormat="1" ht="26.25" customHeight="1">
      <c r="A116" s="143" t="s">
        <v>22</v>
      </c>
      <c r="B116" s="521" t="s">
        <v>256</v>
      </c>
      <c r="C116" s="521"/>
      <c r="D116" s="521"/>
      <c r="E116" s="521"/>
      <c r="F116" s="521"/>
      <c r="G116" s="521"/>
      <c r="H116" s="521"/>
      <c r="I116" s="521"/>
      <c r="J116" s="521"/>
      <c r="K116" s="521"/>
      <c r="L116" s="470"/>
    </row>
    <row r="117" spans="1:12" s="466" customFormat="1" ht="39.950000000000003" customHeight="1">
      <c r="A117" s="143" t="s">
        <v>28</v>
      </c>
      <c r="B117" s="521" t="s">
        <v>257</v>
      </c>
      <c r="C117" s="521"/>
      <c r="D117" s="521"/>
      <c r="E117" s="521"/>
      <c r="F117" s="521"/>
      <c r="G117" s="521"/>
      <c r="H117" s="521"/>
      <c r="I117" s="521"/>
      <c r="J117" s="521"/>
      <c r="K117" s="521"/>
      <c r="L117" s="470"/>
    </row>
    <row r="118" spans="1:12" s="466" customFormat="1" ht="12.75"/>
    <row r="119" spans="1:12" s="466" customFormat="1" ht="12.75">
      <c r="B119" s="466" t="s">
        <v>482</v>
      </c>
    </row>
    <row r="120" spans="1:12" ht="45" customHeight="1">
      <c r="A120" s="466"/>
      <c r="B120" s="466"/>
      <c r="C120" s="252"/>
      <c r="D120" s="156"/>
      <c r="E120" s="73"/>
      <c r="F120" s="73"/>
      <c r="G120" s="73"/>
      <c r="H120" s="73"/>
      <c r="I120" s="156"/>
      <c r="J120" s="466"/>
      <c r="K120" s="466"/>
      <c r="L120" s="143" t="s">
        <v>358</v>
      </c>
    </row>
    <row r="121" spans="1:12" s="466" customFormat="1" ht="12.75">
      <c r="A121" s="245" t="s">
        <v>31</v>
      </c>
      <c r="B121" s="245"/>
      <c r="C121" s="245"/>
      <c r="D121" s="245"/>
      <c r="E121" s="245"/>
      <c r="F121" s="245"/>
      <c r="G121" s="245"/>
      <c r="H121" s="245"/>
      <c r="I121" s="245"/>
      <c r="J121" s="245"/>
      <c r="K121" s="245"/>
      <c r="L121" s="245"/>
    </row>
    <row r="122" spans="1:12" s="466" customFormat="1" ht="12.75">
      <c r="A122" s="245" t="s">
        <v>247</v>
      </c>
      <c r="B122" s="245"/>
      <c r="C122" s="245"/>
      <c r="D122" s="245"/>
      <c r="E122" s="245"/>
      <c r="F122" s="245"/>
      <c r="G122" s="245"/>
      <c r="H122" s="245"/>
      <c r="I122" s="245"/>
      <c r="J122" s="245"/>
      <c r="K122" s="245"/>
      <c r="L122" s="245"/>
    </row>
    <row r="123" spans="1:12" s="466" customFormat="1" ht="12.75">
      <c r="A123" s="245" t="s">
        <v>248</v>
      </c>
      <c r="B123" s="245"/>
      <c r="C123" s="245"/>
      <c r="D123" s="245"/>
      <c r="E123" s="245"/>
      <c r="F123" s="245"/>
      <c r="G123" s="245"/>
      <c r="H123" s="245"/>
      <c r="I123" s="245"/>
      <c r="J123" s="245"/>
      <c r="K123" s="245"/>
      <c r="L123" s="245"/>
    </row>
    <row r="124" spans="1:12" s="466" customFormat="1" ht="12.75">
      <c r="A124" s="298"/>
      <c r="B124" s="298"/>
      <c r="C124" s="298"/>
      <c r="D124" s="298"/>
      <c r="E124" s="298"/>
      <c r="F124" s="298"/>
      <c r="G124" s="298"/>
      <c r="H124" s="298"/>
      <c r="I124" s="298"/>
      <c r="J124" s="298"/>
      <c r="K124" s="298"/>
      <c r="L124" s="298"/>
    </row>
    <row r="125" spans="1:12" s="466" customFormat="1" ht="12.75"/>
    <row r="126" spans="1:12" s="466" customFormat="1" ht="12.75">
      <c r="A126" s="467"/>
      <c r="B126" s="467" t="s">
        <v>297</v>
      </c>
      <c r="C126" s="467"/>
      <c r="D126" s="467"/>
      <c r="E126" s="467"/>
      <c r="F126" s="467"/>
      <c r="G126" s="467"/>
      <c r="H126" s="467"/>
      <c r="I126" s="467"/>
      <c r="J126" s="467"/>
      <c r="K126" s="467"/>
    </row>
    <row r="127" spans="1:12" s="466" customFormat="1" ht="12.75"/>
    <row r="128" spans="1:12" s="466" customFormat="1" ht="12.75">
      <c r="C128" s="252" t="s">
        <v>197</v>
      </c>
      <c r="D128" s="518" t="s">
        <v>294</v>
      </c>
      <c r="E128" s="518"/>
      <c r="F128" s="518"/>
      <c r="G128" s="518"/>
      <c r="H128" s="518"/>
      <c r="I128" s="518"/>
      <c r="J128" s="518"/>
      <c r="K128" s="252"/>
    </row>
    <row r="129" spans="1:11" s="466" customFormat="1" ht="12.75">
      <c r="C129" s="26" t="s">
        <v>8</v>
      </c>
      <c r="D129" s="77">
        <f t="shared" ref="D129:J129" si="32">D102</f>
        <v>12</v>
      </c>
      <c r="E129" s="77">
        <f t="shared" si="32"/>
        <v>24</v>
      </c>
      <c r="F129" s="77">
        <f t="shared" si="32"/>
        <v>36</v>
      </c>
      <c r="G129" s="77">
        <f t="shared" si="32"/>
        <v>48</v>
      </c>
      <c r="H129" s="77">
        <f t="shared" si="32"/>
        <v>60</v>
      </c>
      <c r="I129" s="77">
        <f t="shared" si="32"/>
        <v>72</v>
      </c>
      <c r="J129" s="77">
        <f t="shared" si="32"/>
        <v>84</v>
      </c>
      <c r="K129" s="77"/>
    </row>
    <row r="130" spans="1:11" s="466" customFormat="1" ht="4.5" customHeight="1"/>
    <row r="131" spans="1:11" s="466" customFormat="1" ht="12.75">
      <c r="C131" s="252">
        <f t="shared" ref="C131:C140" si="33">C104</f>
        <v>2012</v>
      </c>
      <c r="D131" s="156"/>
      <c r="E131" s="156"/>
      <c r="F131" s="156"/>
      <c r="G131" s="156"/>
      <c r="H131" s="482"/>
      <c r="I131" s="482"/>
      <c r="J131" s="482">
        <v>19037.917708012123</v>
      </c>
      <c r="K131" s="156"/>
    </row>
    <row r="132" spans="1:11" s="466" customFormat="1" ht="12.75">
      <c r="C132" s="252">
        <f t="shared" si="33"/>
        <v>2013</v>
      </c>
      <c r="D132" s="156"/>
      <c r="E132" s="156"/>
      <c r="F132" s="156"/>
      <c r="G132" s="156"/>
      <c r="H132" s="482"/>
      <c r="I132" s="215">
        <f>+IF(I89&lt;I50,INDEX(LOGEST(H105:I105,H50:I50),2)*EXP((INDEX(LOGEST(H105:I105,H50:I50),1)-1)*I89),INDEX(LOGEST(I105:J105,I50:J50),2)*EXP((INDEX(LOGEST(I105:J105,I50:J50),1)-1)*I89))</f>
        <v>17702.489477377349</v>
      </c>
      <c r="J132" s="482">
        <v>18483.074278121414</v>
      </c>
      <c r="K132" s="156"/>
    </row>
    <row r="133" spans="1:11" s="466" customFormat="1" ht="12.75">
      <c r="C133" s="252">
        <f t="shared" si="33"/>
        <v>2014</v>
      </c>
      <c r="D133" s="156"/>
      <c r="E133" s="156"/>
      <c r="F133" s="156"/>
      <c r="G133" s="156"/>
      <c r="H133" s="215">
        <f>+IF(H90&lt;H51,INDEX(LOGEST(G106:H106,G51:H51),2)*EXP((INDEX(LOGEST(G106:H106,G51:H51),1)-1)*H90),INDEX(LOGEST(H106:I106,H51:I51),2)*EXP((INDEX(LOGEST(H106:I106,H51:I51),1)-1)*H90))</f>
        <v>17002.799430573406</v>
      </c>
      <c r="I133" s="215">
        <f>+IF(I90&lt;I51,INDEX(LOGEST(H106:I106,H51:I51),2)*EXP((INDEX(LOGEST(H106:I106,H51:I51),1)-1)*I90),INDEX(LOGEST(I106:J106,I51:J51),2)*EXP((INDEX(LOGEST(I106:J106,I51:J51),1)-1)*I90))</f>
        <v>18263.311951841453</v>
      </c>
      <c r="J133" s="482">
        <v>19125.935247848392</v>
      </c>
      <c r="K133" s="156"/>
    </row>
    <row r="134" spans="1:11" s="466" customFormat="1" ht="12.75">
      <c r="C134" s="252">
        <f t="shared" si="33"/>
        <v>2015</v>
      </c>
      <c r="D134" s="156"/>
      <c r="E134" s="156"/>
      <c r="F134" s="156"/>
      <c r="G134" s="215">
        <f>+IF(G91&lt;G52,INDEX(LOGEST(F107:G107,F52:G52),2)*EXP((INDEX(LOGEST(F107:G107,F52:G52),1)-1)*G91),INDEX(LOGEST(G107:H107,G52:H52),2)*EXP((INDEX(LOGEST(G107:H107,G52:H52),1)-1)*G91))</f>
        <v>14755.504146327719</v>
      </c>
      <c r="H134" s="215">
        <f>+IF(H91&lt;H52,INDEX(LOGEST(G107:H107,G52:H52),2)*EXP((INDEX(LOGEST(G107:H107,G52:H52),1)-1)*H91),INDEX(LOGEST(H107:I107,H52:I52),2)*EXP((INDEX(LOGEST(H107:I107,H52:I52),1)-1)*H91))</f>
        <v>17076.486734378232</v>
      </c>
      <c r="I134" s="215">
        <f>+IF(I91&lt;I52,INDEX(LOGEST(H107:I107,H52:I52),2)*EXP((INDEX(LOGEST(H107:I107,H52:I52),1)-1)*I91),INDEX(LOGEST(I107:J107,I52:J52),2)*EXP((INDEX(LOGEST(I107:J107,I52:J52),1)-1)*I91))</f>
        <v>18397.807864080663</v>
      </c>
      <c r="J134" s="142">
        <f>J107</f>
        <v>19248.140953319555</v>
      </c>
      <c r="K134" s="156"/>
    </row>
    <row r="135" spans="1:11" s="466" customFormat="1" ht="12.75">
      <c r="C135" s="252">
        <f t="shared" si="33"/>
        <v>2016</v>
      </c>
      <c r="D135" s="156"/>
      <c r="E135" s="156"/>
      <c r="F135" s="507">
        <v>10491.016134781321</v>
      </c>
      <c r="G135" s="215">
        <f>+IF(G92&lt;G53,INDEX(LOGEST(F108:G108,F53:G53),2)*EXP((INDEX(LOGEST(F108:G108,F53:G53),1)-1)*G92),INDEX(LOGEST(G108:H108,G53:H53),2)*EXP((INDEX(LOGEST(G108:H108,G53:H53),1)-1)*G92))</f>
        <v>14122.803813401753</v>
      </c>
      <c r="H135" s="215">
        <f>+IF(H92&lt;H53,INDEX(LOGEST(G108:H108,G53:H53),2)*EXP((INDEX(LOGEST(G108:H108,G53:H53),1)-1)*H92),INDEX(LOGEST(H108:I108,H53:I53),2)*EXP((INDEX(LOGEST(H108:I108,H53:I53),1)-1)*H92))</f>
        <v>16471.220142851897</v>
      </c>
      <c r="I135" s="156">
        <f>I108</f>
        <v>17799.809599517153</v>
      </c>
      <c r="J135" s="156"/>
      <c r="K135" s="156"/>
    </row>
    <row r="136" spans="1:11" s="466" customFormat="1" ht="12.75">
      <c r="C136" s="252">
        <f t="shared" si="33"/>
        <v>2017</v>
      </c>
      <c r="D136" s="156"/>
      <c r="E136" s="507">
        <v>5955.4500504538046</v>
      </c>
      <c r="F136" s="215">
        <f>+IF(F93&lt;F54,INDEX(LOGEST(E109:F109,E54:F54),2)*EXP((INDEX(LOGEST(E109:F109,E54:F54),1)-1)*F93),INDEX(LOGEST(F109:G109,F54:G54),2)*EXP((INDEX(LOGEST(F109:G109,F54:G54),1)-1)*F93))</f>
        <v>9949.3673028370595</v>
      </c>
      <c r="G136" s="215">
        <f>+IF(G93&lt;G54,INDEX(LOGEST(F109:G109,F54:G54),2)*EXP((INDEX(LOGEST(F109:G109,F54:G54),1)-1)*G93),INDEX(LOGEST(G109:H109,G54:H54),2)*EXP((INDEX(LOGEST(G109:H109,G54:H54),1)-1)*G93))</f>
        <v>13913.536026387754</v>
      </c>
      <c r="H136" s="156">
        <f>H109</f>
        <v>16458.766276160841</v>
      </c>
      <c r="I136" s="156"/>
      <c r="J136" s="156"/>
      <c r="K136" s="156"/>
    </row>
    <row r="137" spans="1:11" s="466" customFormat="1" ht="12.75">
      <c r="C137" s="252">
        <f t="shared" si="33"/>
        <v>2018</v>
      </c>
      <c r="D137" s="215">
        <f>INDEX(LOGEST(D110:E110,D55:E55),2)*EXP((INDEX(LOGEST(D110:E110,D55:E55),1)-1)*D94)</f>
        <v>2891.000574390474</v>
      </c>
      <c r="E137" s="215">
        <f>+IF(E94&lt;E55,INDEX(LOGEST(D110:E110,D55:E55),2)*EXP((INDEX(LOGEST(D110:E110,D55:E55),1)-1)*E94),INDEX(LOGEST(E110:F110,E55:F55),2)*EXP((INDEX(LOGEST(E110:F110,E55:F55),1)-1)*E94))</f>
        <v>6305.6875384273217</v>
      </c>
      <c r="F137" s="215">
        <f>+IF(F94&lt;F55,INDEX(LOGEST(E110:F110,E55:F55),2)*EXP((INDEX(LOGEST(E110:F110,E55:F55),1)-1)*F94),INDEX(LOGEST(F110:G110,F55:G55),2)*EXP((INDEX(LOGEST(F110:G110,F55:G55),1)-1)*F94))</f>
        <v>10636.072099620338</v>
      </c>
      <c r="G137" s="156">
        <f>G110</f>
        <v>14613.701368837992</v>
      </c>
      <c r="H137" s="156"/>
      <c r="I137" s="156"/>
      <c r="J137" s="156"/>
      <c r="K137" s="156"/>
    </row>
    <row r="138" spans="1:11" s="466" customFormat="1" ht="12.75">
      <c r="C138" s="252">
        <f t="shared" si="33"/>
        <v>2019</v>
      </c>
      <c r="D138" s="215">
        <f>INDEX(LOGEST(D111:E111,D56:E56),2)*EXP((INDEX(LOGEST(D111:E111,D56:E56),1)-1)*D95)</f>
        <v>3177.2976277597468</v>
      </c>
      <c r="E138" s="215">
        <f>+IF(E95&lt;E56,INDEX(LOGEST(D111:E111,D56:E56),2)*EXP((INDEX(LOGEST(D111:E111,D56:E56),1)-1)*E95),INDEX(LOGEST(E111:F111,E56:F56),2)*EXP((INDEX(LOGEST(E111:F111,E56:F56),1)-1)*E95))</f>
        <v>6807.687537839397</v>
      </c>
      <c r="F138" s="156">
        <f>F111</f>
        <v>11430.342244068437</v>
      </c>
      <c r="G138" s="156"/>
      <c r="H138" s="156"/>
      <c r="I138" s="156"/>
      <c r="J138" s="156"/>
      <c r="K138" s="156"/>
    </row>
    <row r="139" spans="1:11" s="466" customFormat="1" ht="12.75">
      <c r="C139" s="252">
        <f t="shared" si="33"/>
        <v>2020</v>
      </c>
      <c r="D139" s="215">
        <f>INDEX(LOGEST(D112:E112,D57:E57),2)*EXP((INDEX(LOGEST(D112:E112,D57:E57),1)-1)*D96)</f>
        <v>3419.871882674342</v>
      </c>
      <c r="E139" s="156">
        <f>E112</f>
        <v>7746.5773759093163</v>
      </c>
      <c r="F139" s="156"/>
      <c r="G139" s="156"/>
      <c r="H139" s="156"/>
      <c r="I139" s="156"/>
      <c r="J139" s="156"/>
      <c r="K139" s="156"/>
    </row>
    <row r="140" spans="1:11" s="466" customFormat="1" ht="12.75">
      <c r="C140" s="252">
        <f t="shared" si="33"/>
        <v>2021</v>
      </c>
      <c r="D140" s="142">
        <f>D113</f>
        <v>3255.1027369336557</v>
      </c>
      <c r="F140" s="156"/>
      <c r="G140" s="156"/>
      <c r="H140" s="156"/>
      <c r="I140" s="156"/>
      <c r="J140" s="156"/>
      <c r="K140" s="156"/>
    </row>
    <row r="141" spans="1:11" s="466" customFormat="1" ht="12.75">
      <c r="D141" s="156"/>
      <c r="E141" s="156"/>
      <c r="F141" s="156"/>
      <c r="G141" s="156"/>
      <c r="H141" s="156"/>
      <c r="I141" s="156"/>
      <c r="J141" s="156"/>
      <c r="K141" s="156"/>
    </row>
    <row r="142" spans="1:11" s="466" customFormat="1" ht="12.75">
      <c r="A142" s="467"/>
      <c r="B142" s="467" t="s">
        <v>298</v>
      </c>
      <c r="C142" s="467"/>
      <c r="D142" s="467"/>
      <c r="E142" s="467"/>
      <c r="F142" s="467"/>
      <c r="G142" s="467"/>
      <c r="H142" s="467"/>
      <c r="I142" s="467"/>
      <c r="J142" s="467"/>
      <c r="K142" s="467"/>
    </row>
    <row r="143" spans="1:11" s="466" customFormat="1" ht="12.75"/>
    <row r="144" spans="1:11" s="466" customFormat="1" ht="12.75">
      <c r="C144" s="252" t="s">
        <v>197</v>
      </c>
      <c r="D144" s="518" t="s">
        <v>294</v>
      </c>
      <c r="E144" s="518"/>
      <c r="F144" s="518"/>
      <c r="G144" s="518"/>
      <c r="H144" s="518"/>
      <c r="I144" s="518"/>
      <c r="J144" s="518"/>
      <c r="K144" s="252"/>
    </row>
    <row r="145" spans="1:11" s="466" customFormat="1" ht="12.75">
      <c r="C145" s="26" t="s">
        <v>8</v>
      </c>
      <c r="D145" s="77">
        <f t="shared" ref="D145:J145" si="34">+D129</f>
        <v>12</v>
      </c>
      <c r="E145" s="77">
        <f t="shared" si="34"/>
        <v>24</v>
      </c>
      <c r="F145" s="77">
        <f t="shared" si="34"/>
        <v>36</v>
      </c>
      <c r="G145" s="77">
        <f t="shared" si="34"/>
        <v>48</v>
      </c>
      <c r="H145" s="77">
        <f t="shared" si="34"/>
        <v>60</v>
      </c>
      <c r="I145" s="77">
        <f t="shared" si="34"/>
        <v>72</v>
      </c>
      <c r="J145" s="77">
        <f t="shared" si="34"/>
        <v>84</v>
      </c>
      <c r="K145" s="77"/>
    </row>
    <row r="146" spans="1:11" s="466" customFormat="1" ht="4.5" customHeight="1"/>
    <row r="147" spans="1:11" s="466" customFormat="1" ht="12.75">
      <c r="C147" s="252">
        <f>+C131</f>
        <v>2012</v>
      </c>
      <c r="D147" s="156"/>
      <c r="E147" s="156"/>
      <c r="F147" s="156"/>
      <c r="G147" s="156"/>
      <c r="H147" s="156"/>
      <c r="I147" s="156"/>
      <c r="J147" s="142">
        <f t="shared" ref="J147" si="35">J131*J88/1000</f>
        <v>2235901.2527720751</v>
      </c>
      <c r="K147" s="156"/>
    </row>
    <row r="148" spans="1:11" s="466" customFormat="1" ht="12.75">
      <c r="C148" s="252">
        <f t="shared" ref="C148:C156" si="36">+C132</f>
        <v>2013</v>
      </c>
      <c r="D148" s="156"/>
      <c r="E148" s="156"/>
      <c r="F148" s="156"/>
      <c r="G148" s="156"/>
      <c r="H148" s="156"/>
      <c r="I148" s="142">
        <f t="shared" ref="I148:J148" si="37">I132*I89/1000</f>
        <v>2168587.9187914901</v>
      </c>
      <c r="J148" s="142">
        <f t="shared" si="37"/>
        <v>2319315.678183517</v>
      </c>
      <c r="K148" s="156"/>
    </row>
    <row r="149" spans="1:11" s="466" customFormat="1" ht="12.75">
      <c r="C149" s="252">
        <f t="shared" si="36"/>
        <v>2014</v>
      </c>
      <c r="D149" s="156"/>
      <c r="E149" s="156"/>
      <c r="F149" s="156"/>
      <c r="G149" s="156"/>
      <c r="H149" s="142">
        <f t="shared" ref="H149:J149" si="38">H133*H90/1000</f>
        <v>2089249.9530473838</v>
      </c>
      <c r="I149" s="142">
        <f t="shared" si="38"/>
        <v>2336050.9236891256</v>
      </c>
      <c r="J149" s="142">
        <f t="shared" si="38"/>
        <v>2505927.0000401065</v>
      </c>
      <c r="K149" s="156"/>
    </row>
    <row r="150" spans="1:11" s="466" customFormat="1" ht="12.75">
      <c r="C150" s="252">
        <f t="shared" si="36"/>
        <v>2015</v>
      </c>
      <c r="D150" s="156"/>
      <c r="E150" s="156"/>
      <c r="F150" s="156"/>
      <c r="G150" s="142">
        <f t="shared" ref="G150:I150" si="39">G134*G91/1000</f>
        <v>1729324.5567119776</v>
      </c>
      <c r="H150" s="142">
        <f t="shared" si="39"/>
        <v>2177490.5320945941</v>
      </c>
      <c r="I150" s="142">
        <f t="shared" si="39"/>
        <v>2442061.6777642635</v>
      </c>
      <c r="J150" s="142">
        <f>J134*J91/1000</f>
        <v>2617111.9810000001</v>
      </c>
      <c r="K150" s="156"/>
    </row>
    <row r="151" spans="1:11" s="466" customFormat="1" ht="12.75">
      <c r="C151" s="252">
        <f t="shared" si="36"/>
        <v>2016</v>
      </c>
      <c r="D151" s="156"/>
      <c r="E151" s="156"/>
      <c r="F151" s="142">
        <f t="shared" ref="F151:H151" si="40">F135*F92/1000</f>
        <v>1061489.1020879925</v>
      </c>
      <c r="G151" s="142">
        <f t="shared" si="40"/>
        <v>1694133.5364910429</v>
      </c>
      <c r="H151" s="142">
        <f t="shared" si="40"/>
        <v>2149749.1177252997</v>
      </c>
      <c r="I151" s="142">
        <f>I135*I92/1000</f>
        <v>2418299.932</v>
      </c>
      <c r="J151" s="156"/>
      <c r="K151" s="156"/>
    </row>
    <row r="152" spans="1:11" s="466" customFormat="1" ht="12.75">
      <c r="C152" s="252">
        <f t="shared" si="36"/>
        <v>2017</v>
      </c>
      <c r="D152" s="156"/>
      <c r="E152" s="142">
        <f t="shared" ref="D152:E155" si="41">E136*E93/1000</f>
        <v>449681.02337725315</v>
      </c>
      <c r="F152" s="142">
        <f t="shared" ref="F152:G152" si="42">F136*F93/1000</f>
        <v>1011285.7402802106</v>
      </c>
      <c r="G152" s="142">
        <f t="shared" si="42"/>
        <v>1676658.692922412</v>
      </c>
      <c r="H152" s="142">
        <f>H136*H93/1000</f>
        <v>2157941.764</v>
      </c>
      <c r="I152" s="156"/>
      <c r="J152" s="156"/>
      <c r="K152" s="156"/>
    </row>
    <row r="153" spans="1:11" s="466" customFormat="1" ht="12.75">
      <c r="C153" s="252">
        <f t="shared" si="36"/>
        <v>2018</v>
      </c>
      <c r="D153" s="142">
        <f t="shared" si="41"/>
        <v>108538.87361700447</v>
      </c>
      <c r="E153" s="142">
        <f t="shared" si="41"/>
        <v>485788.62133614859</v>
      </c>
      <c r="F153" s="142">
        <f t="shared" ref="F153" si="43">F137*F94/1000</f>
        <v>1103023.1040231839</v>
      </c>
      <c r="G153" s="142">
        <f>G137*G94/1000</f>
        <v>1796769.1969999999</v>
      </c>
      <c r="H153" s="156"/>
      <c r="I153" s="156"/>
      <c r="J153" s="156"/>
      <c r="K153" s="156"/>
    </row>
    <row r="154" spans="1:11" s="466" customFormat="1" ht="12.75">
      <c r="C154" s="252">
        <f t="shared" si="36"/>
        <v>2019</v>
      </c>
      <c r="D154" s="142">
        <f t="shared" si="41"/>
        <v>121684.79402651476</v>
      </c>
      <c r="E154" s="142">
        <f t="shared" si="41"/>
        <v>535002.46869674616</v>
      </c>
      <c r="F154" s="142">
        <f>F138*F95/1000</f>
        <v>1209215.906</v>
      </c>
      <c r="G154" s="156"/>
      <c r="H154" s="156"/>
      <c r="I154" s="156"/>
      <c r="J154" s="156"/>
      <c r="K154" s="156"/>
    </row>
    <row r="155" spans="1:11" s="466" customFormat="1" ht="12.75">
      <c r="C155" s="252">
        <f t="shared" si="36"/>
        <v>2020</v>
      </c>
      <c r="D155" s="142">
        <f t="shared" si="41"/>
        <v>114092.28668529948</v>
      </c>
      <c r="E155" s="142">
        <f>E139*E96/1000</f>
        <v>530315.19400000002</v>
      </c>
      <c r="F155" s="156"/>
      <c r="G155" s="156"/>
      <c r="H155" s="156"/>
      <c r="I155" s="156"/>
      <c r="J155" s="156"/>
      <c r="K155" s="156"/>
    </row>
    <row r="156" spans="1:11" s="466" customFormat="1" ht="12.75">
      <c r="C156" s="252">
        <f t="shared" si="36"/>
        <v>2021</v>
      </c>
      <c r="D156" s="142">
        <f>D140*D97/1000</f>
        <v>119764.995</v>
      </c>
      <c r="F156" s="156"/>
      <c r="G156" s="156"/>
      <c r="H156" s="156"/>
      <c r="I156" s="156"/>
      <c r="J156" s="156"/>
      <c r="K156" s="156"/>
    </row>
    <row r="157" spans="1:11" s="466" customFormat="1" ht="12.75">
      <c r="E157" s="156"/>
      <c r="F157" s="156"/>
      <c r="G157" s="156"/>
      <c r="H157" s="156"/>
      <c r="I157" s="156"/>
      <c r="J157" s="156"/>
      <c r="K157" s="156"/>
    </row>
    <row r="158" spans="1:11" s="466" customFormat="1" ht="12.75">
      <c r="A158" s="467"/>
      <c r="B158" s="467" t="s">
        <v>258</v>
      </c>
      <c r="C158" s="467"/>
      <c r="D158" s="467"/>
      <c r="E158" s="467"/>
      <c r="F158" s="467"/>
      <c r="G158" s="467"/>
      <c r="H158" s="467"/>
      <c r="I158" s="467"/>
      <c r="J158" s="467"/>
      <c r="K158" s="467"/>
    </row>
    <row r="159" spans="1:11" s="466" customFormat="1" ht="12.75"/>
    <row r="160" spans="1:11" s="466" customFormat="1" ht="12.75">
      <c r="C160" s="252" t="s">
        <v>197</v>
      </c>
      <c r="D160" s="518" t="s">
        <v>294</v>
      </c>
      <c r="E160" s="518"/>
      <c r="F160" s="518"/>
      <c r="G160" s="518"/>
      <c r="H160" s="518"/>
      <c r="I160" s="518"/>
      <c r="J160" s="518"/>
      <c r="K160" s="252"/>
    </row>
    <row r="161" spans="1:12" s="466" customFormat="1" ht="12.75">
      <c r="C161" s="26" t="s">
        <v>8</v>
      </c>
      <c r="D161" s="77">
        <f t="shared" ref="D161:J161" si="44">+D129</f>
        <v>12</v>
      </c>
      <c r="E161" s="77">
        <f t="shared" si="44"/>
        <v>24</v>
      </c>
      <c r="F161" s="77">
        <f t="shared" si="44"/>
        <v>36</v>
      </c>
      <c r="G161" s="77">
        <f t="shared" si="44"/>
        <v>48</v>
      </c>
      <c r="H161" s="77">
        <f t="shared" si="44"/>
        <v>60</v>
      </c>
      <c r="I161" s="77">
        <f t="shared" si="44"/>
        <v>72</v>
      </c>
      <c r="J161" s="77">
        <f t="shared" si="44"/>
        <v>84</v>
      </c>
      <c r="K161" s="77"/>
    </row>
    <row r="162" spans="1:12" s="466" customFormat="1" ht="4.5" customHeight="1"/>
    <row r="163" spans="1:12" s="466" customFormat="1" ht="12.75">
      <c r="C163" s="252">
        <f>+C131</f>
        <v>2012</v>
      </c>
      <c r="D163" s="482"/>
      <c r="E163" s="482"/>
      <c r="F163" s="482"/>
      <c r="G163" s="482"/>
      <c r="H163" s="482"/>
      <c r="I163" s="482"/>
      <c r="J163" s="482">
        <v>419174.6040221338</v>
      </c>
      <c r="K163" s="156"/>
    </row>
    <row r="164" spans="1:12" s="466" customFormat="1" ht="12.75">
      <c r="C164" s="252">
        <f t="shared" ref="C164:C172" si="45">+C132</f>
        <v>2013</v>
      </c>
      <c r="D164" s="482"/>
      <c r="E164" s="482"/>
      <c r="F164" s="482"/>
      <c r="G164" s="482"/>
      <c r="H164" s="482"/>
      <c r="I164" s="482">
        <v>491815.91613064311</v>
      </c>
      <c r="J164" s="482">
        <v>382241.2259371095</v>
      </c>
      <c r="K164" s="156"/>
    </row>
    <row r="165" spans="1:12" s="466" customFormat="1" ht="12.75">
      <c r="C165" s="252">
        <f t="shared" si="45"/>
        <v>2014</v>
      </c>
      <c r="D165" s="482"/>
      <c r="E165" s="482"/>
      <c r="F165" s="482"/>
      <c r="G165" s="482"/>
      <c r="H165" s="482">
        <v>622086.55867947266</v>
      </c>
      <c r="I165" s="482">
        <v>494714.34538228752</v>
      </c>
      <c r="J165" s="482">
        <v>392106.64399999951</v>
      </c>
      <c r="K165" s="156"/>
    </row>
    <row r="166" spans="1:12" s="466" customFormat="1" ht="12.75">
      <c r="C166" s="252">
        <f t="shared" si="45"/>
        <v>2015</v>
      </c>
      <c r="D166" s="482"/>
      <c r="E166" s="482"/>
      <c r="F166" s="482"/>
      <c r="G166" s="482">
        <v>762395.02651376266</v>
      </c>
      <c r="H166" s="482">
        <v>592278.40452294378</v>
      </c>
      <c r="I166" s="482">
        <v>475825.212</v>
      </c>
      <c r="J166" s="482">
        <v>396230.67099999997</v>
      </c>
      <c r="K166" s="156"/>
    </row>
    <row r="167" spans="1:12" s="466" customFormat="1" ht="12.75">
      <c r="C167" s="252">
        <f t="shared" si="45"/>
        <v>2016</v>
      </c>
      <c r="D167" s="482"/>
      <c r="E167" s="482"/>
      <c r="F167" s="482">
        <v>862136.16399999999</v>
      </c>
      <c r="G167" s="482">
        <v>710278.75899999996</v>
      </c>
      <c r="H167" s="482">
        <v>578274.598</v>
      </c>
      <c r="I167" s="482">
        <v>470766.02100000001</v>
      </c>
      <c r="J167" s="482"/>
      <c r="K167" s="156"/>
    </row>
    <row r="168" spans="1:12" s="466" customFormat="1" ht="12.75">
      <c r="C168" s="252">
        <f t="shared" si="45"/>
        <v>2017</v>
      </c>
      <c r="D168" s="482"/>
      <c r="E168" s="482">
        <v>768062.57299999974</v>
      </c>
      <c r="F168" s="482">
        <v>849154.61899999972</v>
      </c>
      <c r="G168" s="482">
        <v>722378.46499999997</v>
      </c>
      <c r="H168" s="482">
        <v>589881.39300000004</v>
      </c>
      <c r="I168" s="482"/>
      <c r="J168" s="482"/>
      <c r="K168" s="156"/>
    </row>
    <row r="169" spans="1:12" s="466" customFormat="1" ht="12.75">
      <c r="C169" s="252">
        <f t="shared" si="45"/>
        <v>2018</v>
      </c>
      <c r="D169" s="482">
        <v>339265.48200000002</v>
      </c>
      <c r="E169" s="482">
        <v>806763.47</v>
      </c>
      <c r="F169" s="482">
        <v>898050.12800000003</v>
      </c>
      <c r="G169" s="482">
        <v>792330.70799999998</v>
      </c>
      <c r="H169" s="482"/>
      <c r="I169" s="482"/>
      <c r="J169" s="482"/>
      <c r="K169" s="156"/>
    </row>
    <row r="170" spans="1:12" s="466" customFormat="1" ht="12.75">
      <c r="C170" s="252">
        <f t="shared" si="45"/>
        <v>2019</v>
      </c>
      <c r="D170" s="482">
        <v>353965.52600000001</v>
      </c>
      <c r="E170" s="482">
        <v>883139.84199999995</v>
      </c>
      <c r="F170" s="482">
        <v>1039858.1459999999</v>
      </c>
      <c r="G170" s="482"/>
      <c r="H170" s="482"/>
      <c r="I170" s="482"/>
      <c r="J170" s="482"/>
      <c r="K170" s="156"/>
    </row>
    <row r="171" spans="1:12" s="466" customFormat="1" ht="12.75">
      <c r="C171" s="252">
        <f t="shared" si="45"/>
        <v>2020</v>
      </c>
      <c r="D171" s="482">
        <v>348879.34766999999</v>
      </c>
      <c r="E171" s="482">
        <v>811855.01899999997</v>
      </c>
      <c r="F171" s="482"/>
      <c r="G171" s="482"/>
      <c r="H171" s="482"/>
      <c r="I171" s="482"/>
      <c r="J171" s="482"/>
      <c r="K171" s="156"/>
    </row>
    <row r="172" spans="1:12" s="466" customFormat="1" ht="12.75">
      <c r="C172" s="252">
        <f t="shared" si="45"/>
        <v>2021</v>
      </c>
      <c r="D172" s="482">
        <v>393950.06699999998</v>
      </c>
      <c r="E172" s="482"/>
      <c r="F172" s="482"/>
      <c r="G172" s="482"/>
      <c r="H172" s="482"/>
      <c r="I172" s="482"/>
      <c r="J172" s="482"/>
      <c r="K172" s="156"/>
    </row>
    <row r="173" spans="1:12" s="466" customFormat="1" ht="12.75">
      <c r="C173" s="252"/>
      <c r="D173" s="156"/>
      <c r="E173" s="156"/>
      <c r="F173" s="156"/>
      <c r="G173" s="156"/>
      <c r="H173" s="156"/>
      <c r="I173" s="156"/>
      <c r="J173" s="156"/>
      <c r="K173" s="156"/>
    </row>
    <row r="174" spans="1:12" s="466" customFormat="1" ht="12.75">
      <c r="C174" s="252"/>
      <c r="D174" s="156"/>
      <c r="E174" s="156"/>
      <c r="F174" s="156"/>
      <c r="G174" s="156"/>
      <c r="H174" s="156"/>
      <c r="I174" s="156"/>
      <c r="J174" s="156"/>
      <c r="K174" s="156"/>
    </row>
    <row r="175" spans="1:12" s="466" customFormat="1" ht="26.25" customHeight="1">
      <c r="A175" s="143" t="s">
        <v>38</v>
      </c>
      <c r="B175" s="521" t="s">
        <v>259</v>
      </c>
      <c r="C175" s="521"/>
      <c r="D175" s="521"/>
      <c r="E175" s="521"/>
      <c r="F175" s="521"/>
      <c r="G175" s="521"/>
      <c r="H175" s="521"/>
      <c r="I175" s="521"/>
      <c r="J175" s="521"/>
      <c r="K175" s="521"/>
      <c r="L175" s="471"/>
    </row>
    <row r="176" spans="1:12" s="466" customFormat="1" ht="24.75" customHeight="1">
      <c r="A176" s="143" t="s">
        <v>57</v>
      </c>
      <c r="B176" s="521" t="s">
        <v>260</v>
      </c>
      <c r="C176" s="521"/>
      <c r="D176" s="521"/>
      <c r="E176" s="521"/>
      <c r="F176" s="521"/>
      <c r="G176" s="521"/>
      <c r="H176" s="521"/>
      <c r="I176" s="521"/>
      <c r="J176" s="521"/>
      <c r="K176" s="521"/>
    </row>
    <row r="177" spans="1:12" s="466" customFormat="1" ht="12.75">
      <c r="B177" s="522"/>
      <c r="C177" s="522"/>
      <c r="D177" s="522"/>
      <c r="E177" s="522"/>
      <c r="F177" s="522"/>
      <c r="G177" s="522"/>
      <c r="H177" s="522"/>
      <c r="I177" s="522"/>
      <c r="J177" s="522"/>
    </row>
    <row r="178" spans="1:12" s="466" customFormat="1" ht="12.75">
      <c r="B178" s="466" t="s">
        <v>482</v>
      </c>
    </row>
    <row r="179" spans="1:12" ht="45" customHeight="1">
      <c r="A179" s="466"/>
      <c r="B179" s="466"/>
      <c r="C179" s="466"/>
      <c r="D179" s="466"/>
      <c r="E179" s="466"/>
      <c r="F179" s="466"/>
      <c r="G179" s="466"/>
      <c r="H179" s="466"/>
      <c r="I179" s="466"/>
      <c r="J179" s="466"/>
      <c r="K179" s="466"/>
      <c r="L179" s="143" t="s">
        <v>359</v>
      </c>
    </row>
    <row r="180" spans="1:12" s="466" customFormat="1" ht="12.75">
      <c r="A180" s="245" t="s">
        <v>31</v>
      </c>
      <c r="B180" s="245"/>
      <c r="C180" s="245"/>
      <c r="D180" s="245"/>
      <c r="E180" s="245"/>
      <c r="F180" s="245"/>
      <c r="G180" s="245"/>
      <c r="H180" s="245"/>
      <c r="I180" s="245"/>
      <c r="J180" s="245"/>
      <c r="K180" s="245"/>
      <c r="L180" s="245"/>
    </row>
    <row r="181" spans="1:12" s="466" customFormat="1" ht="12.75">
      <c r="A181" s="245" t="s">
        <v>247</v>
      </c>
      <c r="B181" s="245"/>
      <c r="C181" s="245"/>
      <c r="D181" s="245"/>
      <c r="E181" s="245"/>
      <c r="F181" s="245"/>
      <c r="G181" s="245"/>
      <c r="H181" s="245"/>
      <c r="I181" s="245"/>
      <c r="J181" s="245"/>
      <c r="K181" s="245"/>
      <c r="L181" s="245"/>
    </row>
    <row r="182" spans="1:12" s="466" customFormat="1" ht="12.75">
      <c r="A182" s="245" t="s">
        <v>248</v>
      </c>
      <c r="B182" s="245"/>
      <c r="C182" s="245"/>
      <c r="D182" s="245"/>
      <c r="E182" s="245"/>
      <c r="F182" s="245"/>
      <c r="G182" s="245"/>
      <c r="H182" s="245"/>
      <c r="I182" s="245"/>
      <c r="J182" s="245"/>
      <c r="K182" s="245"/>
      <c r="L182" s="245"/>
    </row>
    <row r="183" spans="1:12" s="466" customFormat="1" ht="12.75">
      <c r="A183" s="298"/>
      <c r="B183" s="298"/>
      <c r="C183" s="298"/>
      <c r="D183" s="298"/>
      <c r="E183" s="298"/>
      <c r="F183" s="298"/>
      <c r="G183" s="298"/>
      <c r="H183" s="298"/>
      <c r="I183" s="298"/>
      <c r="J183" s="298"/>
      <c r="K183" s="298"/>
      <c r="L183" s="298"/>
    </row>
    <row r="184" spans="1:12" s="466" customFormat="1" ht="12.75"/>
    <row r="185" spans="1:12" s="466" customFormat="1" ht="12.75">
      <c r="A185" s="467"/>
      <c r="B185" s="467" t="s">
        <v>299</v>
      </c>
      <c r="C185" s="467"/>
      <c r="D185" s="467"/>
      <c r="E185" s="467"/>
      <c r="F185" s="467"/>
      <c r="G185" s="467"/>
      <c r="H185" s="467"/>
      <c r="I185" s="467"/>
      <c r="J185" s="467"/>
      <c r="K185" s="467"/>
      <c r="L185" s="467"/>
    </row>
    <row r="186" spans="1:12" s="466" customFormat="1" ht="12.75"/>
    <row r="187" spans="1:12" s="466" customFormat="1" ht="12.75">
      <c r="C187" s="252" t="s">
        <v>197</v>
      </c>
      <c r="D187" s="518" t="s">
        <v>294</v>
      </c>
      <c r="E187" s="518"/>
      <c r="F187" s="518"/>
      <c r="G187" s="518"/>
      <c r="H187" s="518"/>
      <c r="I187" s="518"/>
      <c r="J187" s="518"/>
      <c r="K187" s="252"/>
    </row>
    <row r="188" spans="1:12" s="466" customFormat="1" ht="12.75">
      <c r="C188" s="26" t="s">
        <v>8</v>
      </c>
      <c r="D188" s="77">
        <f t="shared" ref="D188:J188" si="46">D161</f>
        <v>12</v>
      </c>
      <c r="E188" s="77">
        <f t="shared" si="46"/>
        <v>24</v>
      </c>
      <c r="F188" s="77">
        <f t="shared" si="46"/>
        <v>36</v>
      </c>
      <c r="G188" s="77">
        <f t="shared" si="46"/>
        <v>48</v>
      </c>
      <c r="H188" s="77">
        <f t="shared" si="46"/>
        <v>60</v>
      </c>
      <c r="I188" s="77">
        <f t="shared" si="46"/>
        <v>72</v>
      </c>
      <c r="J188" s="77">
        <f t="shared" si="46"/>
        <v>84</v>
      </c>
      <c r="K188" s="77"/>
    </row>
    <row r="189" spans="1:12" s="466" customFormat="1" ht="4.5" customHeight="1"/>
    <row r="190" spans="1:12" s="466" customFormat="1" ht="12.75">
      <c r="C190" s="252">
        <f t="shared" ref="C190:C199" si="47">C163</f>
        <v>2012</v>
      </c>
      <c r="D190" s="363"/>
      <c r="E190" s="363"/>
      <c r="F190" s="363"/>
      <c r="G190" s="363"/>
      <c r="H190" s="363"/>
      <c r="I190" s="363"/>
      <c r="J190" s="363">
        <v>41854.811358346524</v>
      </c>
      <c r="K190" s="73"/>
    </row>
    <row r="191" spans="1:12" s="466" customFormat="1" ht="12.75">
      <c r="C191" s="252">
        <f t="shared" si="47"/>
        <v>2013</v>
      </c>
      <c r="D191" s="363"/>
      <c r="E191" s="363"/>
      <c r="F191" s="363"/>
      <c r="G191" s="363"/>
      <c r="H191" s="363"/>
      <c r="I191" s="363">
        <v>36035.912774717282</v>
      </c>
      <c r="J191" s="363">
        <v>41695.892562571302</v>
      </c>
      <c r="K191" s="73"/>
    </row>
    <row r="192" spans="1:12" s="466" customFormat="1" ht="12.75">
      <c r="C192" s="252">
        <f t="shared" si="47"/>
        <v>2014</v>
      </c>
      <c r="D192" s="363"/>
      <c r="E192" s="363"/>
      <c r="F192" s="363"/>
      <c r="G192" s="363"/>
      <c r="H192" s="363">
        <v>32160.282400907679</v>
      </c>
      <c r="I192" s="363">
        <v>38128.654098592357</v>
      </c>
      <c r="J192" s="363">
        <v>43003.580171090027</v>
      </c>
      <c r="K192" s="73"/>
    </row>
    <row r="193" spans="1:12" s="466" customFormat="1" ht="12.75">
      <c r="C193" s="252">
        <f t="shared" si="47"/>
        <v>2015</v>
      </c>
      <c r="D193" s="363"/>
      <c r="E193" s="363"/>
      <c r="F193" s="363"/>
      <c r="G193" s="363">
        <v>27159.135132700678</v>
      </c>
      <c r="H193" s="363">
        <v>33524.29021725215</v>
      </c>
      <c r="I193" s="363">
        <v>37947.620384400769</v>
      </c>
      <c r="J193" s="363">
        <v>44138.428316809623</v>
      </c>
      <c r="K193" s="73"/>
    </row>
    <row r="194" spans="1:12" s="466" customFormat="1" ht="12.75">
      <c r="C194" s="252">
        <f t="shared" si="47"/>
        <v>2016</v>
      </c>
      <c r="D194" s="363"/>
      <c r="E194" s="363"/>
      <c r="F194" s="363">
        <v>17356.999216312746</v>
      </c>
      <c r="G194" s="363">
        <v>26987.0849943264</v>
      </c>
      <c r="H194" s="363">
        <v>33106.692505868181</v>
      </c>
      <c r="I194" s="363">
        <v>38180.53698296837</v>
      </c>
      <c r="J194" s="363"/>
      <c r="K194" s="73"/>
    </row>
    <row r="195" spans="1:12" s="466" customFormat="1" ht="12.75">
      <c r="C195" s="252">
        <f t="shared" si="47"/>
        <v>2017</v>
      </c>
      <c r="D195" s="363"/>
      <c r="E195" s="363">
        <v>7720.4581936946279</v>
      </c>
      <c r="F195" s="363">
        <v>18287.784683640755</v>
      </c>
      <c r="G195" s="363">
        <v>28616.356847381969</v>
      </c>
      <c r="H195" s="363">
        <v>33769.25767117014</v>
      </c>
      <c r="I195" s="363"/>
      <c r="J195" s="363"/>
      <c r="K195" s="73"/>
    </row>
    <row r="196" spans="1:12" s="466" customFormat="1" ht="12.75">
      <c r="C196" s="252">
        <f t="shared" si="47"/>
        <v>2018</v>
      </c>
      <c r="D196" s="363">
        <v>4116.6001164850613</v>
      </c>
      <c r="E196" s="363">
        <v>8233.2002329701227</v>
      </c>
      <c r="F196" s="363">
        <v>18874.603524916161</v>
      </c>
      <c r="G196" s="363">
        <v>28062.004887550916</v>
      </c>
      <c r="H196" s="363"/>
      <c r="I196" s="363"/>
      <c r="J196" s="363"/>
      <c r="K196" s="73"/>
    </row>
    <row r="197" spans="1:12" s="466" customFormat="1" ht="12.75">
      <c r="C197" s="252">
        <f t="shared" si="47"/>
        <v>2019</v>
      </c>
      <c r="D197" s="363">
        <v>4213.4740262832111</v>
      </c>
      <c r="E197" s="363">
        <v>8426.9480525664221</v>
      </c>
      <c r="F197" s="363">
        <v>21936.547180558191</v>
      </c>
      <c r="G197" s="363"/>
      <c r="H197" s="363"/>
      <c r="I197" s="363"/>
      <c r="J197" s="363"/>
      <c r="K197" s="73"/>
    </row>
    <row r="198" spans="1:12" s="466" customFormat="1" ht="12.75">
      <c r="C198" s="252">
        <f t="shared" si="47"/>
        <v>2020</v>
      </c>
      <c r="D198" s="363">
        <v>4682.881406558301</v>
      </c>
      <c r="E198" s="363">
        <v>13240.724439370464</v>
      </c>
      <c r="F198" s="363"/>
      <c r="G198" s="363"/>
      <c r="H198" s="363"/>
      <c r="I198" s="363"/>
      <c r="J198" s="363"/>
      <c r="K198" s="73"/>
    </row>
    <row r="199" spans="1:12" s="466" customFormat="1" ht="12.75">
      <c r="C199" s="252">
        <f t="shared" si="47"/>
        <v>2021</v>
      </c>
      <c r="D199" s="363">
        <v>4894.5192699532854</v>
      </c>
      <c r="E199" s="363"/>
      <c r="F199" s="363"/>
      <c r="G199" s="363"/>
      <c r="H199" s="363"/>
      <c r="I199" s="363"/>
      <c r="J199" s="363"/>
      <c r="K199" s="73"/>
    </row>
    <row r="200" spans="1:12" s="466" customFormat="1" ht="12.75">
      <c r="D200" s="73"/>
      <c r="E200" s="73"/>
      <c r="F200" s="73"/>
      <c r="G200" s="73"/>
      <c r="H200" s="73"/>
      <c r="I200" s="73"/>
      <c r="J200" s="73"/>
      <c r="K200" s="73"/>
    </row>
    <row r="201" spans="1:12" s="466" customFormat="1" ht="12.75">
      <c r="A201" s="467"/>
      <c r="B201" s="467" t="s">
        <v>261</v>
      </c>
      <c r="C201" s="467"/>
      <c r="D201" s="467"/>
      <c r="E201" s="467"/>
      <c r="F201" s="467"/>
      <c r="G201" s="467"/>
      <c r="H201" s="467"/>
      <c r="I201" s="467"/>
      <c r="J201" s="467"/>
      <c r="K201" s="467"/>
      <c r="L201" s="467"/>
    </row>
    <row r="202" spans="1:12" s="466" customFormat="1" ht="12.75">
      <c r="B202" s="466" t="s">
        <v>300</v>
      </c>
    </row>
    <row r="203" spans="1:12" s="466" customFormat="1" ht="12.75"/>
    <row r="204" spans="1:12" s="466" customFormat="1" ht="12.75">
      <c r="C204" s="252" t="s">
        <v>197</v>
      </c>
      <c r="D204" s="518" t="s">
        <v>294</v>
      </c>
      <c r="E204" s="518"/>
      <c r="F204" s="518"/>
      <c r="G204" s="518"/>
      <c r="H204" s="518"/>
      <c r="I204" s="518"/>
      <c r="J204" s="518"/>
      <c r="K204" s="252"/>
    </row>
    <row r="205" spans="1:12" s="466" customFormat="1" ht="12.75">
      <c r="C205" s="26" t="s">
        <v>8</v>
      </c>
      <c r="D205" s="77">
        <f t="shared" ref="D205:J205" si="48">+D188</f>
        <v>12</v>
      </c>
      <c r="E205" s="77">
        <f t="shared" si="48"/>
        <v>24</v>
      </c>
      <c r="F205" s="77">
        <f t="shared" si="48"/>
        <v>36</v>
      </c>
      <c r="G205" s="77">
        <f t="shared" si="48"/>
        <v>48</v>
      </c>
      <c r="H205" s="77">
        <f t="shared" si="48"/>
        <v>60</v>
      </c>
      <c r="I205" s="77">
        <f t="shared" si="48"/>
        <v>72</v>
      </c>
      <c r="J205" s="77">
        <f t="shared" si="48"/>
        <v>84</v>
      </c>
      <c r="K205" s="77"/>
    </row>
    <row r="206" spans="1:12" s="466" customFormat="1" ht="4.5" customHeight="1"/>
    <row r="207" spans="1:12" s="466" customFormat="1" ht="12.75">
      <c r="C207" s="252">
        <f t="shared" ref="C207:C215" si="49">+C190</f>
        <v>2012</v>
      </c>
      <c r="D207" s="363"/>
      <c r="E207" s="363"/>
      <c r="F207" s="363"/>
      <c r="G207" s="363"/>
      <c r="H207" s="363"/>
      <c r="I207" s="363"/>
      <c r="J207" s="363">
        <v>-87183.572059435814</v>
      </c>
      <c r="K207" s="73"/>
    </row>
    <row r="208" spans="1:12" s="466" customFormat="1" ht="12.75">
      <c r="C208" s="252">
        <f t="shared" si="49"/>
        <v>2013</v>
      </c>
      <c r="D208" s="363"/>
      <c r="E208" s="363"/>
      <c r="F208" s="363"/>
      <c r="G208" s="363"/>
      <c r="H208" s="363"/>
      <c r="I208" s="363">
        <v>-91567.254360556617</v>
      </c>
      <c r="J208" s="363">
        <v>-35191.333322810184</v>
      </c>
      <c r="K208" s="73"/>
    </row>
    <row r="209" spans="1:11" s="466" customFormat="1" ht="12.75">
      <c r="C209" s="252">
        <f t="shared" si="49"/>
        <v>2014</v>
      </c>
      <c r="D209" s="363"/>
      <c r="E209" s="363"/>
      <c r="F209" s="363"/>
      <c r="G209" s="363"/>
      <c r="H209" s="363">
        <v>-92846.735291420468</v>
      </c>
      <c r="I209" s="363">
        <v>-47737.074931437637</v>
      </c>
      <c r="J209" s="363">
        <v>-20082.671939899043</v>
      </c>
      <c r="K209" s="73"/>
    </row>
    <row r="210" spans="1:11" s="466" customFormat="1" ht="12.75">
      <c r="C210" s="252">
        <f t="shared" si="49"/>
        <v>2015</v>
      </c>
      <c r="D210" s="363"/>
      <c r="E210" s="363"/>
      <c r="F210" s="363"/>
      <c r="G210" s="363">
        <v>-34247.669402335552</v>
      </c>
      <c r="H210" s="363">
        <v>-25411.411984677128</v>
      </c>
      <c r="I210" s="363">
        <v>-18708.176849509578</v>
      </c>
      <c r="J210" s="363"/>
      <c r="K210" s="73"/>
    </row>
    <row r="211" spans="1:11" s="466" customFormat="1" ht="12.75">
      <c r="C211" s="252">
        <f t="shared" si="49"/>
        <v>2016</v>
      </c>
      <c r="D211" s="363"/>
      <c r="E211" s="363"/>
      <c r="F211" s="363">
        <v>46499.400900501845</v>
      </c>
      <c r="G211" s="363">
        <v>43961.961455757708</v>
      </c>
      <c r="H211" s="363">
        <v>-2582.322015457718</v>
      </c>
      <c r="I211" s="363"/>
      <c r="J211" s="363"/>
      <c r="K211" s="73"/>
    </row>
    <row r="212" spans="1:11" s="466" customFormat="1" ht="12.75">
      <c r="C212" s="252">
        <f t="shared" si="49"/>
        <v>2017</v>
      </c>
      <c r="D212" s="363"/>
      <c r="E212" s="363">
        <v>40370.275894829203</v>
      </c>
      <c r="F212" s="363">
        <v>107550.46172449128</v>
      </c>
      <c r="G212" s="363">
        <v>51108.813329424192</v>
      </c>
      <c r="H212" s="363"/>
      <c r="I212" s="363"/>
      <c r="J212" s="363"/>
      <c r="K212" s="73"/>
    </row>
    <row r="213" spans="1:11" s="466" customFormat="1" ht="12.75">
      <c r="C213" s="252">
        <f t="shared" si="49"/>
        <v>2018</v>
      </c>
      <c r="D213" s="363">
        <v>-1193.8140337806676</v>
      </c>
      <c r="E213" s="363">
        <v>45900.091298808431</v>
      </c>
      <c r="F213" s="363">
        <v>65664.745663183319</v>
      </c>
      <c r="G213" s="363"/>
      <c r="H213" s="363"/>
      <c r="I213" s="363"/>
      <c r="J213" s="363"/>
      <c r="K213" s="73"/>
    </row>
    <row r="214" spans="1:11" s="466" customFormat="1" ht="12.75">
      <c r="C214" s="252">
        <f t="shared" si="49"/>
        <v>2019</v>
      </c>
      <c r="D214" s="363">
        <v>-1478.929383225407</v>
      </c>
      <c r="E214" s="363">
        <v>16129.178572612131</v>
      </c>
      <c r="F214" s="363"/>
      <c r="G214" s="363"/>
      <c r="H214" s="363"/>
      <c r="I214" s="363"/>
      <c r="J214" s="363"/>
      <c r="K214" s="73"/>
    </row>
    <row r="215" spans="1:11" s="466" customFormat="1" ht="12.75">
      <c r="C215" s="252">
        <f t="shared" si="49"/>
        <v>2020</v>
      </c>
      <c r="D215" s="363">
        <v>-7117.979737968617</v>
      </c>
      <c r="E215" s="375"/>
      <c r="F215" s="363"/>
      <c r="G215" s="363"/>
      <c r="H215" s="363"/>
      <c r="I215" s="363"/>
      <c r="J215" s="363"/>
      <c r="K215" s="73"/>
    </row>
    <row r="216" spans="1:11" s="466" customFormat="1" ht="12.75">
      <c r="C216" s="252"/>
      <c r="F216" s="144"/>
      <c r="I216" s="145"/>
    </row>
    <row r="217" spans="1:11" s="466" customFormat="1" ht="12.75">
      <c r="A217" s="467"/>
      <c r="B217" s="467" t="s">
        <v>301</v>
      </c>
      <c r="C217" s="467"/>
      <c r="D217" s="467"/>
      <c r="E217" s="467"/>
      <c r="F217" s="467"/>
      <c r="G217" s="467"/>
      <c r="H217" s="467"/>
      <c r="I217" s="467"/>
      <c r="J217" s="467"/>
      <c r="K217" s="467"/>
    </row>
    <row r="218" spans="1:11" s="466" customFormat="1" ht="12.75"/>
    <row r="219" spans="1:11" s="466" customFormat="1" ht="12.75">
      <c r="C219" s="252" t="s">
        <v>197</v>
      </c>
      <c r="D219" s="518" t="s">
        <v>294</v>
      </c>
      <c r="E219" s="518"/>
      <c r="F219" s="518"/>
      <c r="G219" s="518"/>
      <c r="H219" s="518"/>
      <c r="I219" s="518"/>
      <c r="J219" s="518"/>
      <c r="K219" s="252"/>
    </row>
    <row r="220" spans="1:11" s="466" customFormat="1" ht="12.75">
      <c r="C220" s="26" t="s">
        <v>8</v>
      </c>
      <c r="D220" s="77">
        <f t="shared" ref="D220:J220" si="50">+D188</f>
        <v>12</v>
      </c>
      <c r="E220" s="77">
        <f t="shared" si="50"/>
        <v>24</v>
      </c>
      <c r="F220" s="77">
        <f t="shared" si="50"/>
        <v>36</v>
      </c>
      <c r="G220" s="77">
        <f t="shared" si="50"/>
        <v>48</v>
      </c>
      <c r="H220" s="77">
        <f t="shared" si="50"/>
        <v>60</v>
      </c>
      <c r="I220" s="77">
        <f t="shared" si="50"/>
        <v>72</v>
      </c>
      <c r="J220" s="77">
        <f t="shared" si="50"/>
        <v>84</v>
      </c>
      <c r="K220" s="77"/>
    </row>
    <row r="221" spans="1:11" s="466" customFormat="1" ht="4.5" customHeight="1"/>
    <row r="222" spans="1:11" s="466" customFormat="1" ht="12.75">
      <c r="C222" s="252">
        <f t="shared" ref="C222:C231" si="51">+C190</f>
        <v>2012</v>
      </c>
      <c r="D222" s="73"/>
      <c r="E222" s="73"/>
      <c r="F222" s="73"/>
      <c r="G222" s="73"/>
      <c r="H222" s="73"/>
      <c r="I222" s="73"/>
      <c r="J222" s="73">
        <f>J207+J163</f>
        <v>331991.03196269798</v>
      </c>
      <c r="K222" s="73"/>
    </row>
    <row r="223" spans="1:11" s="466" customFormat="1" ht="12.75">
      <c r="C223" s="252">
        <f t="shared" si="51"/>
        <v>2013</v>
      </c>
      <c r="D223" s="73"/>
      <c r="E223" s="73"/>
      <c r="F223" s="73"/>
      <c r="G223" s="73"/>
      <c r="H223" s="73"/>
      <c r="I223" s="73">
        <f>I208+I164</f>
        <v>400248.6617700865</v>
      </c>
      <c r="J223" s="73">
        <f t="shared" ref="J223" si="52">J208+J164</f>
        <v>347049.89261429932</v>
      </c>
      <c r="K223" s="73"/>
    </row>
    <row r="224" spans="1:11" s="466" customFormat="1" ht="12.75">
      <c r="C224" s="252">
        <f t="shared" si="51"/>
        <v>2014</v>
      </c>
      <c r="D224" s="73"/>
      <c r="E224" s="73"/>
      <c r="F224" s="73"/>
      <c r="G224" s="73"/>
      <c r="H224" s="73">
        <f>H209+H165</f>
        <v>529239.82338805217</v>
      </c>
      <c r="I224" s="73">
        <f t="shared" ref="I224:J224" si="53">I209+I165</f>
        <v>446977.2704508499</v>
      </c>
      <c r="J224" s="73">
        <f t="shared" si="53"/>
        <v>372023.97206010047</v>
      </c>
      <c r="K224" s="73"/>
    </row>
    <row r="225" spans="1:12" s="466" customFormat="1" ht="12.75">
      <c r="C225" s="252">
        <f t="shared" si="51"/>
        <v>2015</v>
      </c>
      <c r="D225" s="73"/>
      <c r="E225" s="73"/>
      <c r="F225" s="73"/>
      <c r="G225" s="73">
        <f>G210+G166</f>
        <v>728147.35711142712</v>
      </c>
      <c r="H225" s="73">
        <f t="shared" ref="H225:J225" si="54">H210+H166</f>
        <v>566866.9925382667</v>
      </c>
      <c r="I225" s="73">
        <f t="shared" si="54"/>
        <v>457117.03515049041</v>
      </c>
      <c r="J225" s="73">
        <f t="shared" si="54"/>
        <v>396230.67099999997</v>
      </c>
      <c r="K225" s="73"/>
    </row>
    <row r="226" spans="1:12" s="466" customFormat="1" ht="12.75">
      <c r="C226" s="252">
        <f t="shared" si="51"/>
        <v>2016</v>
      </c>
      <c r="D226" s="73"/>
      <c r="E226" s="73"/>
      <c r="F226" s="73">
        <f>F211+F167</f>
        <v>908635.56490050186</v>
      </c>
      <c r="G226" s="73">
        <f t="shared" ref="G226:I226" si="55">G211+G167</f>
        <v>754240.72045575769</v>
      </c>
      <c r="H226" s="73">
        <f t="shared" si="55"/>
        <v>575692.27598454233</v>
      </c>
      <c r="I226" s="73">
        <f t="shared" si="55"/>
        <v>470766.02100000001</v>
      </c>
      <c r="J226" s="73"/>
      <c r="K226" s="73"/>
    </row>
    <row r="227" spans="1:12" s="466" customFormat="1" ht="12.75">
      <c r="C227" s="252">
        <f t="shared" si="51"/>
        <v>2017</v>
      </c>
      <c r="D227" s="73"/>
      <c r="E227" s="73">
        <f>E212+E168</f>
        <v>808432.84889482893</v>
      </c>
      <c r="F227" s="73">
        <f t="shared" ref="F227:H227" si="56">F212+F168</f>
        <v>956705.08072449104</v>
      </c>
      <c r="G227" s="73">
        <f t="shared" si="56"/>
        <v>773487.27832942421</v>
      </c>
      <c r="H227" s="73">
        <f t="shared" si="56"/>
        <v>589881.39300000004</v>
      </c>
      <c r="I227" s="73"/>
      <c r="J227" s="73"/>
      <c r="K227" s="73"/>
    </row>
    <row r="228" spans="1:12" s="466" customFormat="1" ht="12.75">
      <c r="C228" s="252">
        <f t="shared" si="51"/>
        <v>2018</v>
      </c>
      <c r="D228" s="73">
        <f>D213+D169</f>
        <v>338071.66796621936</v>
      </c>
      <c r="E228" s="73">
        <f t="shared" ref="D228:E231" si="57">E213+E169</f>
        <v>852663.56129880843</v>
      </c>
      <c r="F228" s="73">
        <f t="shared" ref="F228:G228" si="58">F213+F169</f>
        <v>963714.8736631833</v>
      </c>
      <c r="G228" s="73">
        <f t="shared" si="58"/>
        <v>792330.70799999998</v>
      </c>
      <c r="H228" s="73"/>
      <c r="I228" s="73"/>
      <c r="J228" s="73"/>
      <c r="K228" s="73"/>
    </row>
    <row r="229" spans="1:12" s="466" customFormat="1" ht="12.75">
      <c r="C229" s="252">
        <f t="shared" si="51"/>
        <v>2019</v>
      </c>
      <c r="D229" s="73">
        <f t="shared" si="57"/>
        <v>352486.59661677462</v>
      </c>
      <c r="E229" s="73">
        <f t="shared" si="57"/>
        <v>899269.02057261206</v>
      </c>
      <c r="F229" s="73">
        <f t="shared" ref="F229" si="59">F214+F170</f>
        <v>1039858.1459999999</v>
      </c>
      <c r="G229" s="73"/>
      <c r="H229" s="73"/>
      <c r="I229" s="73"/>
      <c r="J229" s="73"/>
      <c r="K229" s="73"/>
    </row>
    <row r="230" spans="1:12" s="466" customFormat="1" ht="12.75">
      <c r="C230" s="252">
        <f t="shared" si="51"/>
        <v>2020</v>
      </c>
      <c r="D230" s="73">
        <f t="shared" si="57"/>
        <v>341761.3679320314</v>
      </c>
      <c r="E230" s="73">
        <f t="shared" si="57"/>
        <v>811855.01899999997</v>
      </c>
      <c r="F230" s="73"/>
      <c r="G230" s="73"/>
      <c r="H230" s="73"/>
      <c r="I230" s="73"/>
      <c r="J230" s="73"/>
      <c r="K230" s="73"/>
    </row>
    <row r="231" spans="1:12" s="466" customFormat="1" ht="12.75">
      <c r="C231" s="252">
        <f t="shared" si="51"/>
        <v>2021</v>
      </c>
      <c r="D231" s="73">
        <f t="shared" si="57"/>
        <v>393950.06699999998</v>
      </c>
      <c r="E231" s="73"/>
      <c r="F231" s="73"/>
      <c r="G231" s="73"/>
      <c r="H231" s="73"/>
      <c r="I231" s="73"/>
      <c r="J231" s="73"/>
      <c r="K231" s="73"/>
    </row>
    <row r="232" spans="1:12" s="466" customFormat="1" ht="12.75">
      <c r="C232" s="252"/>
      <c r="D232" s="73"/>
      <c r="F232" s="73"/>
      <c r="G232" s="73"/>
      <c r="H232" s="73"/>
      <c r="I232" s="73"/>
      <c r="J232" s="144"/>
      <c r="K232" s="144"/>
    </row>
    <row r="233" spans="1:12" s="466" customFormat="1" ht="67.150000000000006" customHeight="1">
      <c r="A233" s="143" t="s">
        <v>41</v>
      </c>
      <c r="B233" s="521" t="s">
        <v>262</v>
      </c>
      <c r="C233" s="521"/>
      <c r="D233" s="521"/>
      <c r="E233" s="521"/>
      <c r="F233" s="521"/>
      <c r="G233" s="521"/>
      <c r="H233" s="521"/>
      <c r="I233" s="521"/>
      <c r="J233" s="521"/>
      <c r="K233" s="521"/>
      <c r="L233" s="470"/>
    </row>
    <row r="234" spans="1:12" s="466" customFormat="1" ht="39" customHeight="1">
      <c r="A234" s="143" t="s">
        <v>76</v>
      </c>
      <c r="B234" s="521" t="s">
        <v>263</v>
      </c>
      <c r="C234" s="521"/>
      <c r="D234" s="521"/>
      <c r="E234" s="521"/>
      <c r="F234" s="521"/>
      <c r="G234" s="521"/>
      <c r="H234" s="521"/>
      <c r="I234" s="521"/>
      <c r="J234" s="521"/>
      <c r="K234" s="521"/>
      <c r="L234" s="470"/>
    </row>
    <row r="235" spans="1:12" s="466" customFormat="1" ht="27" customHeight="1">
      <c r="A235" s="143" t="s">
        <v>170</v>
      </c>
      <c r="B235" s="521" t="s">
        <v>264</v>
      </c>
      <c r="C235" s="521"/>
      <c r="D235" s="521"/>
      <c r="E235" s="521"/>
      <c r="F235" s="521"/>
      <c r="G235" s="521"/>
      <c r="H235" s="521"/>
      <c r="I235" s="521"/>
      <c r="J235" s="521"/>
      <c r="K235" s="521"/>
      <c r="L235" s="470"/>
    </row>
    <row r="236" spans="1:12" s="466" customFormat="1" ht="12.75"/>
    <row r="237" spans="1:12" s="466" customFormat="1" ht="12.75">
      <c r="B237" s="466" t="s">
        <v>482</v>
      </c>
    </row>
    <row r="238" spans="1:12" ht="45" customHeight="1">
      <c r="A238" s="466"/>
      <c r="B238" s="466"/>
      <c r="C238" s="252"/>
      <c r="D238" s="144"/>
      <c r="E238" s="144"/>
      <c r="F238" s="144"/>
      <c r="G238" s="144"/>
      <c r="H238" s="144"/>
      <c r="I238" s="466"/>
      <c r="J238" s="466"/>
      <c r="K238" s="466"/>
      <c r="L238" s="143" t="s">
        <v>360</v>
      </c>
    </row>
    <row r="239" spans="1:12" s="466" customFormat="1" ht="12.75">
      <c r="A239" s="245" t="s">
        <v>31</v>
      </c>
      <c r="B239" s="245"/>
      <c r="C239" s="245"/>
      <c r="D239" s="245"/>
      <c r="E239" s="245"/>
      <c r="F239" s="245"/>
      <c r="G239" s="245"/>
      <c r="H239" s="245"/>
      <c r="I239" s="245"/>
      <c r="J239" s="245"/>
      <c r="K239" s="245"/>
      <c r="L239" s="245"/>
    </row>
    <row r="240" spans="1:12" s="466" customFormat="1" ht="12.75">
      <c r="A240" s="245" t="s">
        <v>247</v>
      </c>
      <c r="B240" s="245"/>
      <c r="C240" s="245"/>
      <c r="D240" s="245"/>
      <c r="E240" s="245"/>
      <c r="F240" s="245"/>
      <c r="G240" s="245"/>
      <c r="H240" s="245"/>
      <c r="I240" s="245"/>
      <c r="J240" s="245"/>
      <c r="K240" s="245"/>
      <c r="L240" s="245"/>
    </row>
    <row r="241" spans="1:12" s="466" customFormat="1" ht="12.75">
      <c r="A241" s="245" t="s">
        <v>248</v>
      </c>
      <c r="B241" s="245"/>
      <c r="C241" s="245"/>
      <c r="D241" s="245"/>
      <c r="E241" s="245"/>
      <c r="F241" s="245"/>
      <c r="G241" s="245"/>
      <c r="H241" s="245"/>
      <c r="I241" s="245"/>
      <c r="J241" s="245"/>
      <c r="K241" s="245"/>
      <c r="L241" s="245"/>
    </row>
    <row r="242" spans="1:12" s="466" customFormat="1" ht="12.75">
      <c r="A242" s="298"/>
      <c r="B242" s="298"/>
      <c r="C242" s="298"/>
      <c r="D242" s="298"/>
      <c r="E242" s="298"/>
      <c r="F242" s="298"/>
      <c r="G242" s="298"/>
      <c r="H242" s="298"/>
      <c r="I242" s="298"/>
    </row>
    <row r="243" spans="1:12" s="466" customFormat="1" ht="12.75"/>
    <row r="244" spans="1:12" s="466" customFormat="1" ht="12.75">
      <c r="A244" s="467"/>
      <c r="B244" s="467" t="s">
        <v>302</v>
      </c>
      <c r="C244" s="467"/>
      <c r="D244" s="467"/>
      <c r="E244" s="467"/>
      <c r="F244" s="467"/>
      <c r="G244" s="467"/>
      <c r="H244" s="467"/>
      <c r="I244" s="467"/>
      <c r="J244" s="467"/>
      <c r="K244" s="467"/>
    </row>
    <row r="245" spans="1:12" s="466" customFormat="1" ht="12.75"/>
    <row r="246" spans="1:12" s="466" customFormat="1" ht="12.75">
      <c r="C246" s="252" t="s">
        <v>197</v>
      </c>
      <c r="D246" s="518" t="s">
        <v>294</v>
      </c>
      <c r="E246" s="518"/>
      <c r="F246" s="518"/>
      <c r="G246" s="518"/>
      <c r="H246" s="518"/>
      <c r="I246" s="518"/>
      <c r="J246" s="518"/>
      <c r="K246" s="252"/>
    </row>
    <row r="247" spans="1:12" s="466" customFormat="1" ht="12.75">
      <c r="C247" s="26" t="s">
        <v>8</v>
      </c>
      <c r="D247" s="77">
        <f t="shared" ref="D247:J247" si="60">D220</f>
        <v>12</v>
      </c>
      <c r="E247" s="77">
        <f t="shared" si="60"/>
        <v>24</v>
      </c>
      <c r="F247" s="77">
        <f t="shared" si="60"/>
        <v>36</v>
      </c>
      <c r="G247" s="77">
        <f t="shared" si="60"/>
        <v>48</v>
      </c>
      <c r="H247" s="77">
        <f t="shared" si="60"/>
        <v>60</v>
      </c>
      <c r="I247" s="77">
        <f t="shared" si="60"/>
        <v>72</v>
      </c>
      <c r="J247" s="77">
        <f t="shared" si="60"/>
        <v>84</v>
      </c>
      <c r="K247" s="77"/>
    </row>
    <row r="248" spans="1:12" s="466" customFormat="1" ht="4.5" customHeight="1"/>
    <row r="249" spans="1:12" s="466" customFormat="1" ht="12.75">
      <c r="C249" s="252">
        <f t="shared" ref="C249:C258" si="61">C222</f>
        <v>2012</v>
      </c>
      <c r="D249" s="73"/>
      <c r="E249" s="73"/>
      <c r="F249" s="73"/>
      <c r="G249" s="73"/>
      <c r="H249" s="73"/>
      <c r="I249" s="73"/>
      <c r="J249" s="73">
        <f t="shared" ref="J249" si="62">J222+J147</f>
        <v>2567892.284734773</v>
      </c>
      <c r="K249" s="73"/>
    </row>
    <row r="250" spans="1:12" s="466" customFormat="1" ht="12.75">
      <c r="C250" s="252">
        <f t="shared" si="61"/>
        <v>2013</v>
      </c>
      <c r="D250" s="73"/>
      <c r="E250" s="73"/>
      <c r="F250" s="73"/>
      <c r="G250" s="73"/>
      <c r="H250" s="73"/>
      <c r="I250" s="73">
        <f t="shared" ref="I250:J250" si="63">I223+I148</f>
        <v>2568836.5805615764</v>
      </c>
      <c r="J250" s="73">
        <f t="shared" si="63"/>
        <v>2666365.5707978164</v>
      </c>
      <c r="K250" s="73"/>
    </row>
    <row r="251" spans="1:12" s="466" customFormat="1" ht="12.75">
      <c r="C251" s="252">
        <f t="shared" si="61"/>
        <v>2014</v>
      </c>
      <c r="D251" s="73"/>
      <c r="E251" s="73"/>
      <c r="F251" s="73"/>
      <c r="G251" s="73"/>
      <c r="H251" s="73">
        <f t="shared" ref="H251:J251" si="64">H224+H149</f>
        <v>2618489.7764354357</v>
      </c>
      <c r="I251" s="73">
        <f t="shared" si="64"/>
        <v>2783028.1941399756</v>
      </c>
      <c r="J251" s="73">
        <f t="shared" si="64"/>
        <v>2877950.9721002071</v>
      </c>
      <c r="K251" s="73"/>
    </row>
    <row r="252" spans="1:12" s="466" customFormat="1" ht="12.75">
      <c r="C252" s="252">
        <f t="shared" si="61"/>
        <v>2015</v>
      </c>
      <c r="D252" s="73"/>
      <c r="E252" s="73"/>
      <c r="F252" s="73"/>
      <c r="G252" s="73">
        <f t="shared" ref="G252:I252" si="65">G225+G150</f>
        <v>2457471.9138234048</v>
      </c>
      <c r="H252" s="73">
        <f t="shared" si="65"/>
        <v>2744357.5246328609</v>
      </c>
      <c r="I252" s="73">
        <f t="shared" si="65"/>
        <v>2899178.7129147537</v>
      </c>
      <c r="J252" s="73">
        <f>J225+J150</f>
        <v>3013342.6520000002</v>
      </c>
      <c r="K252" s="73"/>
    </row>
    <row r="253" spans="1:12" s="466" customFormat="1" ht="12.75">
      <c r="C253" s="252">
        <f t="shared" si="61"/>
        <v>2016</v>
      </c>
      <c r="D253" s="73"/>
      <c r="E253" s="73"/>
      <c r="F253" s="73">
        <f t="shared" ref="F253:H253" si="66">F226+F151</f>
        <v>1970124.6669884943</v>
      </c>
      <c r="G253" s="73">
        <f t="shared" si="66"/>
        <v>2448374.2569468007</v>
      </c>
      <c r="H253" s="73">
        <f t="shared" si="66"/>
        <v>2725441.3937098421</v>
      </c>
      <c r="I253" s="73">
        <f>I226+I151</f>
        <v>2889065.9530000002</v>
      </c>
      <c r="J253" s="73"/>
      <c r="K253" s="73"/>
    </row>
    <row r="254" spans="1:12" s="466" customFormat="1" ht="12.75">
      <c r="C254" s="252">
        <f t="shared" si="61"/>
        <v>2017</v>
      </c>
      <c r="D254" s="73"/>
      <c r="E254" s="73">
        <f t="shared" ref="D254:E257" si="67">E227+E152</f>
        <v>1258113.8722720821</v>
      </c>
      <c r="F254" s="73">
        <f t="shared" ref="F254:G254" si="68">F227+F152</f>
        <v>1967990.8210047018</v>
      </c>
      <c r="G254" s="73">
        <f t="shared" si="68"/>
        <v>2450145.971251836</v>
      </c>
      <c r="H254" s="73">
        <f>H227+H152</f>
        <v>2747823.1570000001</v>
      </c>
      <c r="I254" s="73"/>
      <c r="J254" s="73"/>
      <c r="K254" s="73"/>
    </row>
    <row r="255" spans="1:12" s="466" customFormat="1" ht="12.75">
      <c r="C255" s="252">
        <f t="shared" si="61"/>
        <v>2018</v>
      </c>
      <c r="D255" s="73">
        <f t="shared" si="67"/>
        <v>446610.54158322385</v>
      </c>
      <c r="E255" s="73">
        <f t="shared" si="67"/>
        <v>1338452.1826349571</v>
      </c>
      <c r="F255" s="73">
        <f t="shared" ref="F255" si="69">F228+F153</f>
        <v>2066737.9776863672</v>
      </c>
      <c r="G255" s="73">
        <f>G228+G153</f>
        <v>2589099.9049999998</v>
      </c>
      <c r="H255" s="73"/>
      <c r="I255" s="73"/>
      <c r="J255" s="73"/>
      <c r="K255" s="73"/>
    </row>
    <row r="256" spans="1:12" s="466" customFormat="1" ht="12.75">
      <c r="C256" s="252">
        <f t="shared" si="61"/>
        <v>2019</v>
      </c>
      <c r="D256" s="73">
        <f t="shared" si="67"/>
        <v>474171.39064328937</v>
      </c>
      <c r="E256" s="73">
        <f t="shared" si="67"/>
        <v>1434271.4892693581</v>
      </c>
      <c r="F256" s="73">
        <f>F229+F154</f>
        <v>2249074.0520000001</v>
      </c>
      <c r="G256" s="73"/>
      <c r="H256" s="73"/>
      <c r="I256" s="73"/>
      <c r="J256" s="73"/>
      <c r="K256" s="73"/>
      <c r="L256" s="271"/>
    </row>
    <row r="257" spans="1:12" s="466" customFormat="1" ht="12.75">
      <c r="C257" s="252">
        <f t="shared" si="61"/>
        <v>2020</v>
      </c>
      <c r="D257" s="73">
        <f t="shared" si="67"/>
        <v>455853.65461733087</v>
      </c>
      <c r="E257" s="73">
        <f>E230+E155</f>
        <v>1342170.213</v>
      </c>
      <c r="F257" s="73"/>
      <c r="G257" s="73"/>
      <c r="H257" s="73"/>
      <c r="I257" s="73"/>
      <c r="J257" s="73"/>
      <c r="K257" s="73"/>
      <c r="L257" s="271"/>
    </row>
    <row r="258" spans="1:12" s="466" customFormat="1" ht="12.75">
      <c r="C258" s="252">
        <f t="shared" si="61"/>
        <v>2021</v>
      </c>
      <c r="D258" s="73">
        <f>D231+D156</f>
        <v>513715.06199999998</v>
      </c>
      <c r="E258" s="73"/>
      <c r="F258" s="73"/>
      <c r="G258" s="73"/>
      <c r="H258" s="73"/>
      <c r="I258" s="73"/>
      <c r="J258" s="73"/>
      <c r="K258" s="73"/>
      <c r="L258" s="271"/>
    </row>
    <row r="259" spans="1:12" s="466" customFormat="1" ht="12.75">
      <c r="D259" s="73"/>
      <c r="F259" s="73"/>
      <c r="G259" s="73"/>
    </row>
    <row r="260" spans="1:12" s="466" customFormat="1" ht="12.75">
      <c r="A260" s="467"/>
      <c r="B260" s="467" t="s">
        <v>265</v>
      </c>
      <c r="C260" s="467"/>
      <c r="D260" s="467"/>
      <c r="E260" s="467"/>
      <c r="F260" s="467"/>
      <c r="G260" s="467"/>
      <c r="H260" s="467"/>
      <c r="I260" s="467"/>
      <c r="J260" s="467"/>
      <c r="K260" s="467"/>
    </row>
    <row r="261" spans="1:12" s="466" customFormat="1" ht="12.75"/>
    <row r="262" spans="1:12" s="466" customFormat="1" ht="12.75">
      <c r="C262" s="252" t="s">
        <v>197</v>
      </c>
      <c r="D262" s="518" t="s">
        <v>294</v>
      </c>
      <c r="E262" s="518"/>
      <c r="F262" s="518"/>
      <c r="G262" s="518"/>
      <c r="H262" s="518"/>
      <c r="I262" s="518"/>
    </row>
    <row r="263" spans="1:12" s="466" customFormat="1" ht="12.75">
      <c r="C263" s="26" t="s">
        <v>8</v>
      </c>
      <c r="D263" s="77" t="str">
        <f t="shared" ref="D263:I263" si="70">+D247&amp;"-"&amp;E247</f>
        <v>12-24</v>
      </c>
      <c r="E263" s="77" t="str">
        <f t="shared" si="70"/>
        <v>24-36</v>
      </c>
      <c r="F263" s="77" t="str">
        <f t="shared" si="70"/>
        <v>36-48</v>
      </c>
      <c r="G263" s="77" t="str">
        <f t="shared" si="70"/>
        <v>48-60</v>
      </c>
      <c r="H263" s="77" t="str">
        <f t="shared" si="70"/>
        <v>60-72</v>
      </c>
      <c r="I263" s="77" t="str">
        <f t="shared" si="70"/>
        <v>72-84</v>
      </c>
    </row>
    <row r="264" spans="1:12" s="466" customFormat="1" ht="4.5" customHeight="1"/>
    <row r="265" spans="1:12" s="466" customFormat="1" ht="12.75">
      <c r="C265" s="252">
        <f t="shared" ref="C265:C273" si="71">+C249</f>
        <v>2012</v>
      </c>
      <c r="D265" s="144"/>
      <c r="E265" s="144"/>
      <c r="F265" s="144"/>
      <c r="G265" s="144"/>
      <c r="H265" s="144"/>
      <c r="I265" s="144"/>
    </row>
    <row r="266" spans="1:12" s="466" customFormat="1" ht="12.75">
      <c r="C266" s="252">
        <f t="shared" si="71"/>
        <v>2013</v>
      </c>
      <c r="D266" s="144"/>
      <c r="E266" s="144"/>
      <c r="F266" s="144"/>
      <c r="G266" s="144"/>
      <c r="H266" s="144"/>
      <c r="I266" s="144">
        <f>J250/I250</f>
        <v>1.0379662104527174</v>
      </c>
    </row>
    <row r="267" spans="1:12" s="466" customFormat="1" ht="12.75">
      <c r="C267" s="252">
        <f t="shared" si="71"/>
        <v>2014</v>
      </c>
      <c r="D267" s="144"/>
      <c r="E267" s="144"/>
      <c r="F267" s="144"/>
      <c r="G267" s="144"/>
      <c r="H267" s="144">
        <f>I251/H251</f>
        <v>1.0628371434501176</v>
      </c>
      <c r="I267" s="144">
        <f t="shared" ref="I267" si="72">J251/I251</f>
        <v>1.0341077313410276</v>
      </c>
    </row>
    <row r="268" spans="1:12" s="466" customFormat="1" ht="12.75">
      <c r="C268" s="252">
        <f t="shared" si="71"/>
        <v>2015</v>
      </c>
      <c r="D268" s="144"/>
      <c r="E268" s="144"/>
      <c r="F268" s="144"/>
      <c r="G268" s="144">
        <f>H252/G252</f>
        <v>1.1167401381866096</v>
      </c>
      <c r="H268" s="144">
        <f t="shared" ref="H268:I268" si="73">I252/H252</f>
        <v>1.0564143654360796</v>
      </c>
      <c r="I268" s="144">
        <f t="shared" si="73"/>
        <v>1.0393780275002327</v>
      </c>
    </row>
    <row r="269" spans="1:12" s="466" customFormat="1" ht="12.75">
      <c r="C269" s="252">
        <f t="shared" si="71"/>
        <v>2016</v>
      </c>
      <c r="D269" s="144"/>
      <c r="E269" s="144"/>
      <c r="F269" s="144">
        <f>G253/F253</f>
        <v>1.242750927376262</v>
      </c>
      <c r="G269" s="144">
        <f t="shared" ref="G269:H269" si="74">H253/G253</f>
        <v>1.1131637191401256</v>
      </c>
      <c r="H269" s="144">
        <f t="shared" si="74"/>
        <v>1.0600359852418011</v>
      </c>
      <c r="I269" s="144"/>
    </row>
    <row r="270" spans="1:12" s="466" customFormat="1" ht="12.75">
      <c r="C270" s="252">
        <f t="shared" si="71"/>
        <v>2017</v>
      </c>
      <c r="D270" s="144"/>
      <c r="E270" s="144">
        <f>F254/E254</f>
        <v>1.5642390282611083</v>
      </c>
      <c r="F270" s="144">
        <f t="shared" ref="F270:G270" si="75">G254/F254</f>
        <v>1.2449986783988065</v>
      </c>
      <c r="G270" s="144">
        <f t="shared" si="75"/>
        <v>1.1214936535377416</v>
      </c>
      <c r="H270" s="144"/>
      <c r="I270" s="144"/>
    </row>
    <row r="271" spans="1:12" s="466" customFormat="1" ht="12.75">
      <c r="C271" s="252">
        <f t="shared" si="71"/>
        <v>2018</v>
      </c>
      <c r="D271" s="144">
        <f>E255/D255</f>
        <v>2.9969113086542376</v>
      </c>
      <c r="E271" s="144">
        <f t="shared" ref="D271:E273" si="76">F255/E255</f>
        <v>1.5441253744438319</v>
      </c>
      <c r="F271" s="144">
        <f t="shared" ref="F271" si="77">G255/F255</f>
        <v>1.2527470501598836</v>
      </c>
      <c r="G271" s="144"/>
      <c r="H271" s="144"/>
      <c r="I271" s="144"/>
      <c r="L271" s="68"/>
    </row>
    <row r="272" spans="1:12" s="466" customFormat="1" ht="12.75">
      <c r="C272" s="252">
        <f t="shared" si="71"/>
        <v>2019</v>
      </c>
      <c r="D272" s="144">
        <f t="shared" si="76"/>
        <v>3.0247955013134371</v>
      </c>
      <c r="E272" s="144">
        <f t="shared" si="76"/>
        <v>1.5680950704428462</v>
      </c>
      <c r="F272" s="144"/>
      <c r="G272" s="144"/>
      <c r="H272" s="144"/>
      <c r="I272" s="144"/>
      <c r="L272" s="68"/>
    </row>
    <row r="273" spans="1:12" s="466" customFormat="1" ht="12.75">
      <c r="C273" s="252">
        <f t="shared" si="71"/>
        <v>2020</v>
      </c>
      <c r="D273" s="144">
        <f t="shared" si="76"/>
        <v>2.9443006530828253</v>
      </c>
      <c r="F273" s="144"/>
      <c r="G273" s="144"/>
      <c r="H273" s="144"/>
      <c r="I273" s="144"/>
      <c r="L273" s="68"/>
    </row>
    <row r="274" spans="1:12" s="466" customFormat="1" ht="12.75">
      <c r="C274" s="252"/>
    </row>
    <row r="275" spans="1:12" s="466" customFormat="1" ht="12.75">
      <c r="C275" s="466" t="s">
        <v>251</v>
      </c>
      <c r="D275" s="144">
        <f>D273</f>
        <v>2.9443006530828253</v>
      </c>
      <c r="E275" s="144">
        <f>E272</f>
        <v>1.5680950704428462</v>
      </c>
      <c r="F275" s="144">
        <f>F271</f>
        <v>1.2527470501598836</v>
      </c>
      <c r="G275" s="144">
        <f>G270</f>
        <v>1.1214936535377416</v>
      </c>
      <c r="H275" s="144">
        <f>H269</f>
        <v>1.0600359852418011</v>
      </c>
      <c r="I275" s="144">
        <f>I268</f>
        <v>1.0393780275002327</v>
      </c>
    </row>
    <row r="276" spans="1:12" s="466" customFormat="1" ht="12.75">
      <c r="C276" s="466" t="s">
        <v>266</v>
      </c>
      <c r="D276" s="144">
        <f>AVERAGE(D271:D273)</f>
        <v>2.9886691543501667</v>
      </c>
      <c r="E276" s="144">
        <f>AVERAGE(E270:E272)</f>
        <v>1.5588198243825957</v>
      </c>
      <c r="F276" s="144">
        <f>AVERAGE(F269:F271)</f>
        <v>1.2468322186449841</v>
      </c>
      <c r="G276" s="144">
        <f>AVERAGE(G268:G270)</f>
        <v>1.1171325036214921</v>
      </c>
      <c r="H276" s="144">
        <f>AVERAGE(H267:H269)</f>
        <v>1.0597624980426661</v>
      </c>
      <c r="I276" s="144">
        <f>AVERAGE(I266:I268)</f>
        <v>1.0371506564313258</v>
      </c>
    </row>
    <row r="277" spans="1:12" s="466" customFormat="1" ht="12.75"/>
    <row r="278" spans="1:12" s="466" customFormat="1" ht="12.75">
      <c r="A278" s="467"/>
      <c r="B278" s="467" t="s">
        <v>303</v>
      </c>
      <c r="C278" s="467"/>
      <c r="D278" s="467"/>
      <c r="E278" s="467"/>
      <c r="F278" s="467"/>
      <c r="G278" s="467"/>
      <c r="H278" s="467"/>
      <c r="I278" s="467"/>
      <c r="J278" s="467"/>
      <c r="K278" s="467"/>
    </row>
    <row r="279" spans="1:12" s="466" customFormat="1" ht="12.75"/>
    <row r="280" spans="1:12" s="466" customFormat="1" ht="12.75">
      <c r="C280" s="252" t="s">
        <v>197</v>
      </c>
      <c r="D280" s="518" t="s">
        <v>294</v>
      </c>
      <c r="E280" s="518"/>
      <c r="F280" s="518"/>
      <c r="G280" s="518"/>
      <c r="H280" s="518"/>
      <c r="I280" s="518"/>
    </row>
    <row r="281" spans="1:12" s="466" customFormat="1" ht="12.75">
      <c r="C281" s="26" t="s">
        <v>8</v>
      </c>
      <c r="D281" s="77" t="str">
        <f t="shared" ref="D281:I281" si="78">+D263</f>
        <v>12-24</v>
      </c>
      <c r="E281" s="77" t="str">
        <f t="shared" si="78"/>
        <v>24-36</v>
      </c>
      <c r="F281" s="77" t="str">
        <f t="shared" si="78"/>
        <v>36-48</v>
      </c>
      <c r="G281" s="77" t="str">
        <f t="shared" si="78"/>
        <v>48-60</v>
      </c>
      <c r="H281" s="77" t="str">
        <f t="shared" si="78"/>
        <v>60-72</v>
      </c>
      <c r="I281" s="77" t="str">
        <f t="shared" si="78"/>
        <v>72-84</v>
      </c>
    </row>
    <row r="282" spans="1:12" s="466" customFormat="1" ht="4.5" customHeight="1"/>
    <row r="283" spans="1:12" s="466" customFormat="1" ht="12.75">
      <c r="C283" s="252">
        <f t="shared" ref="C283:C290" si="79">+C250</f>
        <v>2013</v>
      </c>
      <c r="D283" s="365"/>
      <c r="E283" s="365"/>
      <c r="F283" s="365"/>
      <c r="G283" s="365"/>
      <c r="H283" s="365"/>
      <c r="I283" s="365">
        <v>1.0437648550166487</v>
      </c>
    </row>
    <row r="284" spans="1:12" s="466" customFormat="1" ht="12.75">
      <c r="C284" s="252">
        <f t="shared" si="79"/>
        <v>2014</v>
      </c>
      <c r="D284" s="365"/>
      <c r="E284" s="365"/>
      <c r="F284" s="365"/>
      <c r="G284" s="365"/>
      <c r="H284" s="365">
        <v>1.0711578221797775</v>
      </c>
      <c r="I284" s="365">
        <v>1.0386894354498162</v>
      </c>
    </row>
    <row r="285" spans="1:12" s="466" customFormat="1" ht="12.75">
      <c r="C285" s="252">
        <f t="shared" si="79"/>
        <v>2015</v>
      </c>
      <c r="D285" s="365"/>
      <c r="E285" s="365"/>
      <c r="F285" s="365"/>
      <c r="G285" s="365">
        <v>1.1189684137001501</v>
      </c>
      <c r="H285" s="365">
        <v>1.0580295762121315</v>
      </c>
      <c r="I285" s="365">
        <v>1.0419274531269309</v>
      </c>
    </row>
    <row r="286" spans="1:12" s="466" customFormat="1" ht="12.75">
      <c r="C286" s="252">
        <f t="shared" si="79"/>
        <v>2016</v>
      </c>
      <c r="D286" s="365"/>
      <c r="E286" s="365"/>
      <c r="F286" s="365">
        <v>1.2303464708238856</v>
      </c>
      <c r="G286" s="365">
        <v>1.1025834190412591</v>
      </c>
      <c r="H286" s="365">
        <v>1.060497267974545</v>
      </c>
      <c r="I286" s="365"/>
    </row>
    <row r="287" spans="1:12" s="466" customFormat="1" ht="12.75">
      <c r="C287" s="252">
        <f t="shared" si="79"/>
        <v>2017</v>
      </c>
      <c r="D287" s="365"/>
      <c r="E287" s="365">
        <v>1.5693260150682267</v>
      </c>
      <c r="F287" s="365">
        <v>1.2096008721534421</v>
      </c>
      <c r="G287" s="365">
        <v>1.1095061820991461</v>
      </c>
      <c r="H287" s="365"/>
      <c r="I287" s="365"/>
    </row>
    <row r="288" spans="1:12" s="466" customFormat="1" ht="12.75">
      <c r="C288" s="252">
        <f t="shared" si="79"/>
        <v>2018</v>
      </c>
      <c r="D288" s="365">
        <v>3.1103750732253252</v>
      </c>
      <c r="E288" s="365">
        <v>1.5258500462216502</v>
      </c>
      <c r="F288" s="365">
        <v>1.2222132179724137</v>
      </c>
      <c r="G288" s="365"/>
      <c r="H288" s="365"/>
      <c r="I288" s="365"/>
      <c r="L288" s="54"/>
    </row>
    <row r="289" spans="1:12" s="466" customFormat="1" ht="12.75">
      <c r="C289" s="252">
        <f t="shared" si="79"/>
        <v>2019</v>
      </c>
      <c r="D289" s="365">
        <v>3.0636653794502164</v>
      </c>
      <c r="E289" s="365">
        <v>1.5496249044548867</v>
      </c>
      <c r="F289" s="365"/>
      <c r="G289" s="365"/>
      <c r="H289" s="365"/>
      <c r="I289" s="365"/>
      <c r="L289" s="54"/>
    </row>
    <row r="290" spans="1:12" s="466" customFormat="1" ht="12.75">
      <c r="C290" s="252">
        <f t="shared" si="79"/>
        <v>2020</v>
      </c>
      <c r="D290" s="365">
        <v>2.956411440928731</v>
      </c>
      <c r="E290" s="365"/>
      <c r="F290" s="365"/>
      <c r="G290" s="365"/>
      <c r="H290" s="365"/>
      <c r="I290" s="365"/>
      <c r="L290" s="54"/>
    </row>
    <row r="291" spans="1:12" s="466" customFormat="1" ht="12.75">
      <c r="C291" s="252"/>
      <c r="D291" s="144"/>
      <c r="F291" s="144"/>
      <c r="G291" s="144"/>
    </row>
    <row r="292" spans="1:12" s="466" customFormat="1" ht="12.75">
      <c r="C292" s="252"/>
      <c r="D292" s="144"/>
      <c r="F292" s="144"/>
      <c r="G292" s="144"/>
    </row>
    <row r="293" spans="1:12" s="466" customFormat="1" ht="12.75">
      <c r="C293" s="252"/>
      <c r="D293" s="144"/>
      <c r="F293" s="144"/>
      <c r="G293" s="144"/>
    </row>
    <row r="294" spans="1:12" s="466" customFormat="1" ht="26.25" customHeight="1">
      <c r="A294" s="143" t="s">
        <v>172</v>
      </c>
      <c r="B294" s="521" t="s">
        <v>267</v>
      </c>
      <c r="C294" s="521"/>
      <c r="D294" s="521"/>
      <c r="E294" s="521"/>
      <c r="F294" s="521"/>
      <c r="G294" s="521"/>
      <c r="H294" s="521"/>
      <c r="I294" s="521"/>
      <c r="J294" s="521"/>
      <c r="K294" s="521"/>
      <c r="L294" s="470"/>
    </row>
    <row r="295" spans="1:12" s="466" customFormat="1" ht="37.5" customHeight="1">
      <c r="A295" s="143" t="s">
        <v>98</v>
      </c>
      <c r="B295" s="521" t="s">
        <v>268</v>
      </c>
      <c r="C295" s="521"/>
      <c r="D295" s="521"/>
      <c r="E295" s="521"/>
      <c r="F295" s="521"/>
      <c r="G295" s="521"/>
      <c r="H295" s="521"/>
      <c r="I295" s="521"/>
      <c r="J295" s="521"/>
      <c r="K295" s="521"/>
      <c r="L295" s="470"/>
    </row>
    <row r="296" spans="1:12" s="466" customFormat="1" ht="12.75"/>
    <row r="297" spans="1:12" s="466" customFormat="1" ht="12.75">
      <c r="B297" s="466" t="s">
        <v>482</v>
      </c>
    </row>
    <row r="298" spans="1:12" ht="45" customHeight="1">
      <c r="L298" s="143" t="s">
        <v>361</v>
      </c>
    </row>
    <row r="299" spans="1:12" s="466" customFormat="1" ht="12.75">
      <c r="A299" s="245" t="s">
        <v>31</v>
      </c>
      <c r="B299" s="245"/>
      <c r="C299" s="245"/>
      <c r="D299" s="245"/>
      <c r="E299" s="245"/>
      <c r="F299" s="245"/>
      <c r="G299" s="245"/>
      <c r="H299" s="245"/>
      <c r="I299" s="245"/>
      <c r="J299" s="245"/>
      <c r="K299" s="245"/>
      <c r="L299" s="245"/>
    </row>
    <row r="300" spans="1:12" s="466" customFormat="1" ht="12.75">
      <c r="A300" s="245" t="s">
        <v>247</v>
      </c>
      <c r="B300" s="245"/>
      <c r="C300" s="245"/>
      <c r="D300" s="245"/>
      <c r="E300" s="245"/>
      <c r="F300" s="245"/>
      <c r="G300" s="245"/>
      <c r="H300" s="245"/>
      <c r="I300" s="245"/>
      <c r="J300" s="245"/>
      <c r="K300" s="245"/>
      <c r="L300" s="245"/>
    </row>
    <row r="301" spans="1:12" s="466" customFormat="1" ht="12.75">
      <c r="A301" s="245" t="s">
        <v>248</v>
      </c>
      <c r="B301" s="245"/>
      <c r="C301" s="245"/>
      <c r="D301" s="245"/>
      <c r="E301" s="245"/>
      <c r="F301" s="245"/>
      <c r="G301" s="245"/>
      <c r="H301" s="245"/>
      <c r="I301" s="245"/>
      <c r="J301" s="245"/>
      <c r="K301" s="245"/>
      <c r="L301" s="245"/>
    </row>
    <row r="302" spans="1:12" s="466" customFormat="1" ht="12.6" customHeight="1">
      <c r="A302" s="298"/>
      <c r="B302" s="298"/>
      <c r="C302" s="298"/>
      <c r="D302" s="298"/>
      <c r="E302" s="298"/>
      <c r="F302" s="298"/>
      <c r="G302" s="298"/>
      <c r="H302" s="298"/>
      <c r="I302" s="298"/>
      <c r="J302" s="298"/>
      <c r="K302" s="298"/>
      <c r="L302" s="298"/>
    </row>
    <row r="303" spans="1:12" s="466" customFormat="1" ht="12.6" customHeight="1"/>
    <row r="304" spans="1:12" s="466" customFormat="1" ht="31.9" customHeight="1">
      <c r="A304" s="467"/>
      <c r="B304" s="467" t="s">
        <v>304</v>
      </c>
      <c r="C304" s="467"/>
      <c r="D304" s="467"/>
      <c r="E304" s="467"/>
      <c r="F304" s="467"/>
      <c r="G304" s="467"/>
      <c r="H304" s="467"/>
      <c r="I304" s="467"/>
    </row>
    <row r="305" spans="1:12" s="466" customFormat="1" ht="28.15" customHeight="1"/>
    <row r="306" spans="1:12" s="466" customFormat="1" ht="12.75">
      <c r="C306" s="252" t="s">
        <v>197</v>
      </c>
      <c r="D306" s="518" t="s">
        <v>294</v>
      </c>
      <c r="E306" s="518"/>
      <c r="F306" s="518"/>
      <c r="G306" s="518"/>
      <c r="H306" s="518"/>
      <c r="I306" s="518"/>
      <c r="J306" s="252"/>
      <c r="K306" s="252"/>
    </row>
    <row r="307" spans="1:12" s="466" customFormat="1" ht="12.75">
      <c r="C307" s="26" t="s">
        <v>8</v>
      </c>
      <c r="D307" s="77" t="str">
        <f t="shared" ref="D307:I307" si="80">D281</f>
        <v>12-24</v>
      </c>
      <c r="E307" s="77" t="str">
        <f t="shared" si="80"/>
        <v>24-36</v>
      </c>
      <c r="F307" s="77" t="str">
        <f t="shared" si="80"/>
        <v>36-48</v>
      </c>
      <c r="G307" s="77" t="str">
        <f t="shared" si="80"/>
        <v>48-60</v>
      </c>
      <c r="H307" s="77" t="str">
        <f t="shared" si="80"/>
        <v>60-72</v>
      </c>
      <c r="I307" s="77" t="str">
        <f t="shared" si="80"/>
        <v>72-84</v>
      </c>
      <c r="L307" s="26"/>
    </row>
    <row r="308" spans="1:12" s="466" customFormat="1" ht="4.5" customHeight="1"/>
    <row r="309" spans="1:12" s="466" customFormat="1" ht="12.75">
      <c r="C309" s="252">
        <f t="shared" ref="C309:C316" si="81">C283</f>
        <v>2013</v>
      </c>
      <c r="D309" s="476"/>
      <c r="E309" s="476"/>
      <c r="F309" s="476"/>
      <c r="G309" s="476"/>
      <c r="H309" s="476"/>
      <c r="I309" s="272">
        <f t="shared" ref="I309" si="82">I266/I283-1</f>
        <v>-5.5555085382126279E-3</v>
      </c>
      <c r="L309" s="475"/>
    </row>
    <row r="310" spans="1:12" s="466" customFormat="1" ht="12.75">
      <c r="C310" s="252">
        <f t="shared" si="81"/>
        <v>2014</v>
      </c>
      <c r="D310" s="476"/>
      <c r="E310" s="476"/>
      <c r="F310" s="476"/>
      <c r="G310" s="476"/>
      <c r="H310" s="272">
        <f t="shared" ref="H310:I310" si="83">H267/H284-1</f>
        <v>-7.7679297647544887E-3</v>
      </c>
      <c r="I310" s="272">
        <f t="shared" si="83"/>
        <v>-4.4110433325090792E-3</v>
      </c>
      <c r="L310" s="475"/>
    </row>
    <row r="311" spans="1:12" s="466" customFormat="1" ht="12.75">
      <c r="C311" s="252">
        <f t="shared" si="81"/>
        <v>2015</v>
      </c>
      <c r="D311" s="476"/>
      <c r="E311" s="476"/>
      <c r="F311" s="476"/>
      <c r="G311" s="272">
        <f t="shared" ref="G311:H311" si="84">G268/G285-1</f>
        <v>-1.991365874370099E-3</v>
      </c>
      <c r="H311" s="272">
        <f t="shared" si="84"/>
        <v>-1.5266215731269961E-3</v>
      </c>
      <c r="I311" s="272">
        <f>I268/I285-1</f>
        <v>-2.4468360239929821E-3</v>
      </c>
      <c r="L311" s="475"/>
    </row>
    <row r="312" spans="1:12" s="466" customFormat="1" ht="12.75">
      <c r="C312" s="252">
        <f t="shared" si="81"/>
        <v>2016</v>
      </c>
      <c r="D312" s="476"/>
      <c r="E312" s="476"/>
      <c r="F312" s="272">
        <f t="shared" ref="F312:G312" si="85">F269/F286-1</f>
        <v>1.008208406861999E-2</v>
      </c>
      <c r="G312" s="272">
        <f t="shared" si="85"/>
        <v>9.5959180195783755E-3</v>
      </c>
      <c r="H312" s="272">
        <f>H269/H286-1</f>
        <v>-4.3496833671707869E-4</v>
      </c>
      <c r="I312" s="476"/>
      <c r="L312" s="477"/>
    </row>
    <row r="313" spans="1:12" s="466" customFormat="1" ht="12.75">
      <c r="C313" s="252">
        <f t="shared" si="81"/>
        <v>2017</v>
      </c>
      <c r="D313" s="476"/>
      <c r="E313" s="272">
        <f t="shared" ref="D313:E315" si="86">E270/E287-1</f>
        <v>-3.2415105327220362E-3</v>
      </c>
      <c r="F313" s="272">
        <f t="shared" ref="F313" si="87">F270/F287-1</f>
        <v>2.9264038295827355E-2</v>
      </c>
      <c r="G313" s="272">
        <f>G270/G287-1</f>
        <v>1.0804330459804667E-2</v>
      </c>
      <c r="H313" s="476"/>
      <c r="I313" s="476"/>
      <c r="L313" s="477"/>
    </row>
    <row r="314" spans="1:12" s="466" customFormat="1" ht="12.75">
      <c r="C314" s="252">
        <f t="shared" si="81"/>
        <v>2018</v>
      </c>
      <c r="D314" s="272">
        <f t="shared" si="86"/>
        <v>-3.647912611819859E-2</v>
      </c>
      <c r="E314" s="272">
        <f t="shared" si="86"/>
        <v>1.1977145635926334E-2</v>
      </c>
      <c r="F314" s="272">
        <f>F271/F288-1</f>
        <v>2.4982410383455056E-2</v>
      </c>
      <c r="G314" s="476"/>
      <c r="H314" s="476"/>
      <c r="I314" s="476"/>
      <c r="L314" s="477"/>
    </row>
    <row r="315" spans="1:12" s="466" customFormat="1" ht="12.75">
      <c r="C315" s="252">
        <f t="shared" si="81"/>
        <v>2019</v>
      </c>
      <c r="D315" s="272">
        <f t="shared" si="86"/>
        <v>-1.2687377152055257E-2</v>
      </c>
      <c r="E315" s="272">
        <f>E272/E289-1</f>
        <v>1.1919120514171766E-2</v>
      </c>
      <c r="F315" s="476"/>
      <c r="G315" s="476"/>
      <c r="H315" s="476"/>
      <c r="I315" s="476"/>
      <c r="L315" s="477"/>
    </row>
    <row r="316" spans="1:12" s="466" customFormat="1" ht="12.75">
      <c r="C316" s="252">
        <f t="shared" si="81"/>
        <v>2020</v>
      </c>
      <c r="D316" s="272">
        <f>D273/D290-1</f>
        <v>-4.0964487142226558E-3</v>
      </c>
      <c r="E316" s="476"/>
      <c r="F316" s="476"/>
      <c r="G316" s="476"/>
      <c r="H316" s="476"/>
      <c r="I316" s="476"/>
      <c r="L316" s="477"/>
    </row>
    <row r="317" spans="1:12" s="466" customFormat="1" ht="35.450000000000003" customHeight="1">
      <c r="C317" s="252"/>
      <c r="D317" s="476"/>
      <c r="F317" s="476"/>
      <c r="G317" s="476"/>
      <c r="H317" s="476"/>
      <c r="I317" s="476"/>
      <c r="L317" s="475"/>
    </row>
    <row r="318" spans="1:12" s="466" customFormat="1" ht="12.75" customHeight="1">
      <c r="A318" s="312"/>
      <c r="B318" s="311" t="s">
        <v>379</v>
      </c>
      <c r="C318" s="312"/>
      <c r="D318" s="312"/>
      <c r="E318" s="312"/>
      <c r="F318" s="312"/>
      <c r="G318" s="312"/>
      <c r="H318" s="312"/>
      <c r="I318" s="312"/>
      <c r="J318" s="467"/>
      <c r="K318" s="467"/>
      <c r="L318" s="467"/>
    </row>
    <row r="319" spans="1:12" s="466" customFormat="1" ht="12.75" customHeight="1">
      <c r="A319" s="312"/>
      <c r="B319" s="311" t="s">
        <v>378</v>
      </c>
      <c r="C319" s="312"/>
      <c r="D319" s="312"/>
      <c r="E319" s="312"/>
      <c r="F319" s="312"/>
      <c r="G319" s="312"/>
      <c r="H319" s="312"/>
      <c r="I319" s="312"/>
      <c r="J319" s="467"/>
      <c r="K319" s="467"/>
      <c r="L319" s="467"/>
    </row>
    <row r="320" spans="1:12" s="466" customFormat="1" ht="28.15" customHeight="1">
      <c r="B320" s="467"/>
      <c r="C320" s="467"/>
      <c r="D320" s="467"/>
      <c r="E320" s="467"/>
      <c r="F320" s="467"/>
      <c r="G320" s="467"/>
      <c r="H320" s="467"/>
      <c r="I320" s="467"/>
    </row>
    <row r="321" spans="3:9" s="466" customFormat="1" ht="12.75">
      <c r="C321" s="252" t="s">
        <v>197</v>
      </c>
      <c r="D321" s="518" t="s">
        <v>294</v>
      </c>
      <c r="E321" s="518"/>
      <c r="F321" s="518"/>
      <c r="G321" s="518"/>
      <c r="H321" s="518"/>
      <c r="I321" s="518"/>
    </row>
    <row r="322" spans="3:9" s="466" customFormat="1" ht="12.75">
      <c r="C322" s="26" t="s">
        <v>8</v>
      </c>
      <c r="D322" s="77" t="str">
        <f t="shared" ref="D322:I322" si="88">D307</f>
        <v>12-24</v>
      </c>
      <c r="E322" s="77" t="str">
        <f t="shared" si="88"/>
        <v>24-36</v>
      </c>
      <c r="F322" s="77" t="str">
        <f t="shared" si="88"/>
        <v>36-48</v>
      </c>
      <c r="G322" s="77" t="str">
        <f t="shared" si="88"/>
        <v>48-60</v>
      </c>
      <c r="H322" s="77" t="str">
        <f t="shared" si="88"/>
        <v>60-72</v>
      </c>
      <c r="I322" s="77" t="str">
        <f t="shared" si="88"/>
        <v>72-84</v>
      </c>
    </row>
    <row r="323" spans="3:9" s="466" customFormat="1" ht="4.5" customHeight="1"/>
    <row r="324" spans="3:9" s="466" customFormat="1" ht="12.75">
      <c r="C324" s="252">
        <f t="shared" ref="C324:C331" si="89">+C309</f>
        <v>2013</v>
      </c>
      <c r="D324" s="480"/>
      <c r="E324" s="480"/>
      <c r="F324" s="480"/>
      <c r="G324" s="480"/>
      <c r="H324" s="480"/>
      <c r="I324" s="376">
        <v>1.0382000490861061</v>
      </c>
    </row>
    <row r="325" spans="3:9" s="466" customFormat="1" ht="12.75">
      <c r="C325" s="252">
        <f t="shared" si="89"/>
        <v>2014</v>
      </c>
      <c r="D325" s="480"/>
      <c r="E325" s="480"/>
      <c r="F325" s="480"/>
      <c r="G325" s="480"/>
      <c r="H325" s="376">
        <v>1.0626805472219478</v>
      </c>
      <c r="I325" s="376">
        <v>1.0344169259775229</v>
      </c>
    </row>
    <row r="326" spans="3:9" s="466" customFormat="1" ht="12.75">
      <c r="C326" s="252">
        <f t="shared" si="89"/>
        <v>2015</v>
      </c>
      <c r="D326" s="480"/>
      <c r="E326" s="480"/>
      <c r="F326" s="480"/>
      <c r="G326" s="376">
        <v>1.1167716615865799</v>
      </c>
      <c r="H326" s="376">
        <v>1.0563848343756317</v>
      </c>
      <c r="I326" s="376">
        <v>1.0394503968629993</v>
      </c>
    </row>
    <row r="327" spans="3:9" s="466" customFormat="1" ht="12.75">
      <c r="C327" s="252">
        <f t="shared" si="89"/>
        <v>2016</v>
      </c>
      <c r="D327" s="480"/>
      <c r="E327" s="480"/>
      <c r="F327" s="376">
        <v>1.2424009634044026</v>
      </c>
      <c r="G327" s="376">
        <v>1.113584297575595</v>
      </c>
      <c r="H327" s="376">
        <v>1.05953893356308</v>
      </c>
      <c r="I327" s="480"/>
    </row>
    <row r="328" spans="3:9" s="466" customFormat="1" ht="12.75">
      <c r="C328" s="252">
        <f t="shared" si="89"/>
        <v>2017</v>
      </c>
      <c r="D328" s="480"/>
      <c r="E328" s="376">
        <v>1.5639140699741592</v>
      </c>
      <c r="F328" s="376">
        <v>1.245409486337951</v>
      </c>
      <c r="G328" s="376">
        <v>1.1219928068103833</v>
      </c>
      <c r="H328" s="480"/>
      <c r="I328" s="480"/>
    </row>
    <row r="329" spans="3:9" s="466" customFormat="1" ht="12.75">
      <c r="C329" s="252">
        <f t="shared" si="89"/>
        <v>2018</v>
      </c>
      <c r="D329" s="376">
        <v>2.9965499177724024</v>
      </c>
      <c r="E329" s="376">
        <v>1.5442771242404236</v>
      </c>
      <c r="F329" s="376">
        <v>1.252528505488582</v>
      </c>
      <c r="G329" s="480"/>
      <c r="H329" s="480"/>
      <c r="I329" s="480"/>
    </row>
    <row r="330" spans="3:9" s="466" customFormat="1" ht="12.75">
      <c r="C330" s="252">
        <f t="shared" si="89"/>
        <v>2019</v>
      </c>
      <c r="D330" s="376">
        <v>3.024138563783255</v>
      </c>
      <c r="E330" s="376">
        <v>1.5684746367969662</v>
      </c>
      <c r="F330" s="480"/>
      <c r="G330" s="480"/>
      <c r="H330" s="480"/>
      <c r="I330" s="480"/>
    </row>
    <row r="331" spans="3:9" s="466" customFormat="1" ht="12.75">
      <c r="C331" s="252">
        <f t="shared" si="89"/>
        <v>2020</v>
      </c>
      <c r="D331" s="376">
        <v>2.9438908976007578</v>
      </c>
      <c r="E331" s="375"/>
      <c r="F331" s="480"/>
      <c r="G331" s="480"/>
      <c r="H331" s="480"/>
      <c r="I331" s="480"/>
    </row>
    <row r="332" spans="3:9" s="466" customFormat="1" ht="12.75">
      <c r="C332" s="252"/>
    </row>
    <row r="333" spans="3:9" s="466" customFormat="1" ht="12.75">
      <c r="C333" s="44" t="s">
        <v>251</v>
      </c>
      <c r="D333" s="483">
        <f>D331</f>
        <v>2.9438908976007578</v>
      </c>
      <c r="E333" s="483">
        <f>E330</f>
        <v>1.5684746367969662</v>
      </c>
      <c r="F333" s="483">
        <f>F329</f>
        <v>1.252528505488582</v>
      </c>
      <c r="G333" s="483">
        <f>G328</f>
        <v>1.1219928068103833</v>
      </c>
      <c r="H333" s="483">
        <f>H327</f>
        <v>1.05953893356308</v>
      </c>
      <c r="I333" s="483">
        <f>I326</f>
        <v>1.0394503968629993</v>
      </c>
    </row>
    <row r="334" spans="3:9" s="466" customFormat="1" ht="12.75">
      <c r="C334" s="466" t="s">
        <v>483</v>
      </c>
      <c r="D334" s="144">
        <f>AVERAGE(D330:D331)</f>
        <v>2.9840147306920066</v>
      </c>
      <c r="E334" s="144">
        <f>AVERAGE(E329:E330)</f>
        <v>1.5563758805186949</v>
      </c>
      <c r="F334" s="144">
        <f>AVERAGE(F328:F329)</f>
        <v>1.2489689959132666</v>
      </c>
      <c r="G334" s="144">
        <f>AVERAGE(G327:G328)</f>
        <v>1.1177885521929891</v>
      </c>
      <c r="H334" s="144">
        <f>AVERAGE(H326:H327)</f>
        <v>1.0579618839693559</v>
      </c>
      <c r="I334" s="144">
        <f>AVERAGE(I325:I326)</f>
        <v>1.0369336614202611</v>
      </c>
    </row>
    <row r="335" spans="3:9" s="466" customFormat="1" ht="12.75">
      <c r="C335" s="466" t="s">
        <v>266</v>
      </c>
      <c r="D335" s="144">
        <f>AVERAGE(D329:D331)</f>
        <v>2.9881931263854717</v>
      </c>
      <c r="E335" s="144">
        <f>AVERAGE(E328:E330)</f>
        <v>1.5588886103371831</v>
      </c>
      <c r="F335" s="144">
        <f>AVERAGE(F327:F329)</f>
        <v>1.2467796517436451</v>
      </c>
      <c r="G335" s="144">
        <f>AVERAGE(G326:G328)</f>
        <v>1.1174495886575195</v>
      </c>
      <c r="H335" s="144">
        <f>AVERAGE(H325:H327)</f>
        <v>1.0595347717202197</v>
      </c>
      <c r="I335" s="144">
        <f>AVERAGE(I324:I326)</f>
        <v>1.0373557906422095</v>
      </c>
    </row>
    <row r="336" spans="3:9" s="466" customFormat="1" ht="12.75">
      <c r="D336" s="144"/>
      <c r="E336" s="144"/>
      <c r="F336" s="144"/>
      <c r="G336" s="144"/>
      <c r="H336" s="144"/>
      <c r="I336" s="144"/>
    </row>
    <row r="337" spans="1:11" s="466" customFormat="1" ht="12.75">
      <c r="D337" s="144"/>
      <c r="E337" s="144"/>
      <c r="F337" s="144"/>
      <c r="G337" s="144"/>
      <c r="H337" s="144"/>
      <c r="I337" s="144"/>
    </row>
    <row r="338" spans="1:11" s="466" customFormat="1" ht="12.75">
      <c r="D338" s="144"/>
      <c r="E338" s="144"/>
      <c r="F338" s="144"/>
      <c r="G338" s="144"/>
      <c r="H338" s="144"/>
      <c r="I338" s="144"/>
    </row>
    <row r="339" spans="1:11" s="466" customFormat="1" ht="12.75" customHeight="1">
      <c r="A339" s="143" t="s">
        <v>269</v>
      </c>
      <c r="B339" s="36" t="s">
        <v>270</v>
      </c>
      <c r="C339" s="36"/>
      <c r="D339" s="36"/>
      <c r="E339" s="36"/>
      <c r="F339" s="36"/>
      <c r="G339" s="36"/>
      <c r="H339" s="36"/>
      <c r="I339" s="36"/>
      <c r="J339" s="36"/>
      <c r="K339" s="465"/>
    </row>
    <row r="340" spans="1:11" s="466" customFormat="1" ht="12.75" customHeight="1">
      <c r="A340" s="143" t="s">
        <v>271</v>
      </c>
      <c r="B340" s="36" t="s">
        <v>368</v>
      </c>
      <c r="C340" s="470"/>
      <c r="D340" s="470"/>
      <c r="E340" s="470"/>
      <c r="F340" s="470"/>
      <c r="G340" s="470"/>
      <c r="H340" s="470"/>
      <c r="I340" s="470"/>
      <c r="J340" s="470"/>
      <c r="K340" s="470"/>
    </row>
    <row r="341" spans="1:11" s="466" customFormat="1" ht="12.75" customHeight="1">
      <c r="B341" s="466" t="s">
        <v>369</v>
      </c>
      <c r="D341" s="479"/>
      <c r="E341" s="479"/>
      <c r="F341" s="479"/>
      <c r="G341" s="479"/>
      <c r="H341" s="479"/>
      <c r="I341" s="479"/>
    </row>
    <row r="342" spans="1:11" s="466" customFormat="1" ht="12.75" customHeight="1">
      <c r="D342" s="479"/>
      <c r="E342" s="479"/>
      <c r="F342" s="479"/>
      <c r="G342" s="479"/>
      <c r="H342" s="479"/>
      <c r="I342" s="479"/>
    </row>
    <row r="343" spans="1:11" s="466" customFormat="1" ht="12.75" customHeight="1">
      <c r="B343" s="466" t="s">
        <v>482</v>
      </c>
      <c r="C343" s="252"/>
      <c r="D343" s="26"/>
      <c r="E343" s="26"/>
      <c r="F343" s="26"/>
      <c r="G343" s="26"/>
      <c r="H343" s="26"/>
      <c r="I343" s="26"/>
    </row>
  </sheetData>
  <mergeCells count="30">
    <mergeCell ref="D321:I321"/>
    <mergeCell ref="D204:J204"/>
    <mergeCell ref="D219:J219"/>
    <mergeCell ref="B233:K233"/>
    <mergeCell ref="B234:K234"/>
    <mergeCell ref="B235:K235"/>
    <mergeCell ref="D246:J246"/>
    <mergeCell ref="D262:I262"/>
    <mergeCell ref="D280:I280"/>
    <mergeCell ref="B294:K294"/>
    <mergeCell ref="B295:K295"/>
    <mergeCell ref="D306:I306"/>
    <mergeCell ref="D187:J187"/>
    <mergeCell ref="D69:J69"/>
    <mergeCell ref="D85:J85"/>
    <mergeCell ref="D101:J101"/>
    <mergeCell ref="B116:K116"/>
    <mergeCell ref="B117:K117"/>
    <mergeCell ref="D128:J128"/>
    <mergeCell ref="D144:J144"/>
    <mergeCell ref="D160:J160"/>
    <mergeCell ref="B175:K175"/>
    <mergeCell ref="B176:K176"/>
    <mergeCell ref="B177:J177"/>
    <mergeCell ref="D46:J46"/>
    <mergeCell ref="A6:J6"/>
    <mergeCell ref="D9:J9"/>
    <mergeCell ref="A23:J23"/>
    <mergeCell ref="D25:J25"/>
    <mergeCell ref="A44:J44"/>
  </mergeCells>
  <printOptions horizontalCentered="1"/>
  <pageMargins left="0.25" right="0.25" top="0.33" bottom="0.5" header="0.2" footer="0.3"/>
  <pageSetup scale="82" fitToHeight="6" orientation="portrait" blackAndWhite="1" horizontalDpi="1200" verticalDpi="1200" r:id="rId1"/>
  <headerFooter scaleWithDoc="0"/>
  <rowBreaks count="5" manualBreakCount="5">
    <brk id="60" max="10" man="1"/>
    <brk id="119" max="10" man="1"/>
    <brk id="178" max="10" man="1"/>
    <brk id="237" max="10" man="1"/>
    <brk id="297"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25"/>
  <sheetViews>
    <sheetView zoomScaleNormal="100" zoomScaleSheetLayoutView="100" workbookViewId="0"/>
  </sheetViews>
  <sheetFormatPr defaultRowHeight="15"/>
  <cols>
    <col min="1" max="1" width="6.7109375" customWidth="1"/>
    <col min="2" max="2" width="14.7109375" customWidth="1"/>
    <col min="3" max="12" width="8.7109375" customWidth="1"/>
    <col min="13" max="13" width="8.7109375" bestFit="1" customWidth="1"/>
  </cols>
  <sheetData>
    <row r="1" spans="1:13">
      <c r="A1" s="347"/>
      <c r="B1" s="347"/>
      <c r="C1" s="347"/>
      <c r="D1" s="347"/>
      <c r="E1" s="347"/>
      <c r="F1" s="347"/>
      <c r="G1" s="347"/>
      <c r="H1" s="347"/>
      <c r="I1" s="347"/>
      <c r="J1" s="347"/>
      <c r="K1" s="347"/>
      <c r="L1" s="347"/>
      <c r="M1" s="143" t="s">
        <v>385</v>
      </c>
    </row>
    <row r="2" spans="1:13">
      <c r="A2" s="245" t="s">
        <v>391</v>
      </c>
      <c r="B2" s="245"/>
      <c r="C2" s="245"/>
      <c r="D2" s="245"/>
      <c r="E2" s="245"/>
      <c r="F2" s="245"/>
      <c r="G2" s="245"/>
      <c r="H2" s="245"/>
      <c r="I2" s="245"/>
      <c r="J2" s="245"/>
      <c r="K2" s="245"/>
      <c r="L2" s="245"/>
      <c r="M2" s="245"/>
    </row>
    <row r="3" spans="1:13">
      <c r="A3" s="245" t="s">
        <v>392</v>
      </c>
      <c r="B3" s="245"/>
      <c r="C3" s="245"/>
      <c r="D3" s="245"/>
      <c r="E3" s="245"/>
      <c r="F3" s="245"/>
      <c r="G3" s="245"/>
      <c r="H3" s="245"/>
      <c r="I3" s="245"/>
      <c r="J3" s="245"/>
      <c r="K3" s="245"/>
      <c r="L3" s="245"/>
      <c r="M3" s="245"/>
    </row>
    <row r="4" spans="1:13">
      <c r="A4" s="245" t="s">
        <v>393</v>
      </c>
      <c r="B4" s="245"/>
      <c r="C4" s="245"/>
      <c r="D4" s="245"/>
      <c r="E4" s="245"/>
      <c r="F4" s="245"/>
      <c r="G4" s="245"/>
      <c r="H4" s="245"/>
      <c r="I4" s="245"/>
      <c r="J4" s="245"/>
      <c r="K4" s="245"/>
      <c r="L4" s="245"/>
      <c r="M4" s="245"/>
    </row>
    <row r="5" spans="1:13">
      <c r="A5" s="245"/>
      <c r="B5" s="245"/>
      <c r="C5" s="245"/>
      <c r="D5" s="245"/>
      <c r="E5" s="245"/>
      <c r="F5" s="245"/>
      <c r="G5" s="245"/>
      <c r="H5" s="245"/>
      <c r="I5" s="245"/>
      <c r="J5" s="245"/>
      <c r="K5" s="245"/>
      <c r="L5" s="245"/>
      <c r="M5" s="245"/>
    </row>
    <row r="6" spans="1:13">
      <c r="A6" s="245"/>
      <c r="B6" s="245"/>
      <c r="C6" s="245"/>
      <c r="D6" s="245"/>
      <c r="E6" s="245"/>
      <c r="F6" s="245"/>
      <c r="G6" s="245"/>
      <c r="H6" s="245"/>
      <c r="I6" s="245"/>
      <c r="J6" s="245"/>
      <c r="K6" s="245"/>
      <c r="L6" s="245"/>
      <c r="M6" s="245"/>
    </row>
    <row r="7" spans="1:13">
      <c r="A7" s="340"/>
      <c r="B7" s="340"/>
      <c r="C7" s="340"/>
      <c r="D7" s="340"/>
      <c r="E7" s="340"/>
      <c r="F7" s="340"/>
      <c r="G7" s="340"/>
      <c r="H7" s="340"/>
      <c r="I7" s="340"/>
      <c r="J7" s="340"/>
      <c r="K7" s="340"/>
      <c r="L7" s="340"/>
      <c r="M7" s="347"/>
    </row>
    <row r="8" spans="1:13">
      <c r="A8" s="341" t="s">
        <v>402</v>
      </c>
      <c r="B8" s="341"/>
      <c r="C8" s="341"/>
      <c r="D8" s="341"/>
      <c r="E8" s="341"/>
      <c r="F8" s="341"/>
      <c r="G8" s="341"/>
      <c r="H8" s="341"/>
      <c r="I8" s="341"/>
      <c r="J8" s="341"/>
      <c r="K8" s="341"/>
      <c r="L8" s="341"/>
      <c r="M8" s="347"/>
    </row>
    <row r="9" spans="1:13">
      <c r="A9" s="340"/>
      <c r="B9" s="340"/>
      <c r="C9" s="340"/>
      <c r="D9" s="340"/>
      <c r="E9" s="340"/>
      <c r="F9" s="340"/>
      <c r="G9" s="340"/>
      <c r="H9" s="340"/>
      <c r="I9" s="340"/>
      <c r="J9" s="340"/>
      <c r="K9" s="340"/>
      <c r="L9" s="340"/>
      <c r="M9" s="347"/>
    </row>
    <row r="10" spans="1:13">
      <c r="A10" s="340"/>
      <c r="B10" s="252" t="s">
        <v>197</v>
      </c>
      <c r="C10" s="344" t="s">
        <v>294</v>
      </c>
      <c r="D10" s="348"/>
      <c r="E10" s="348"/>
      <c r="F10" s="348"/>
      <c r="G10" s="348"/>
      <c r="H10" s="348"/>
      <c r="I10" s="348"/>
      <c r="J10" s="348"/>
      <c r="K10" s="348"/>
      <c r="L10" s="348"/>
      <c r="M10" s="347"/>
    </row>
    <row r="11" spans="1:13">
      <c r="A11" s="340"/>
      <c r="B11" s="26" t="s">
        <v>8</v>
      </c>
      <c r="C11" s="77">
        <v>288</v>
      </c>
      <c r="D11" s="77">
        <f>C11+12</f>
        <v>300</v>
      </c>
      <c r="E11" s="77">
        <f t="shared" ref="E11:L11" si="0">D11+12</f>
        <v>312</v>
      </c>
      <c r="F11" s="77">
        <f t="shared" si="0"/>
        <v>324</v>
      </c>
      <c r="G11" s="77">
        <f t="shared" si="0"/>
        <v>336</v>
      </c>
      <c r="H11" s="77">
        <f t="shared" si="0"/>
        <v>348</v>
      </c>
      <c r="I11" s="77">
        <f t="shared" si="0"/>
        <v>360</v>
      </c>
      <c r="J11" s="77">
        <f t="shared" si="0"/>
        <v>372</v>
      </c>
      <c r="K11" s="77">
        <f t="shared" si="0"/>
        <v>384</v>
      </c>
      <c r="L11" s="77">
        <f t="shared" si="0"/>
        <v>396</v>
      </c>
      <c r="M11" s="347"/>
    </row>
    <row r="12" spans="1:13">
      <c r="A12" s="340"/>
      <c r="B12" s="252">
        <f t="shared" ref="B12:B14" si="1">B13-1</f>
        <v>1990</v>
      </c>
      <c r="C12" s="363"/>
      <c r="D12" s="363"/>
      <c r="E12" s="363"/>
      <c r="F12" s="363"/>
      <c r="G12" s="363"/>
      <c r="H12" s="363"/>
      <c r="I12" s="363">
        <v>230815.00000000006</v>
      </c>
      <c r="J12" s="363">
        <v>230896.00000000006</v>
      </c>
      <c r="K12" s="363">
        <v>230974.00000000003</v>
      </c>
      <c r="L12" s="363">
        <v>231050</v>
      </c>
      <c r="M12" s="347"/>
    </row>
    <row r="13" spans="1:13">
      <c r="A13" s="340"/>
      <c r="B13" s="252">
        <f t="shared" si="1"/>
        <v>1991</v>
      </c>
      <c r="C13" s="363"/>
      <c r="D13" s="363"/>
      <c r="E13" s="363"/>
      <c r="F13" s="363"/>
      <c r="G13" s="363"/>
      <c r="H13" s="363">
        <v>231227</v>
      </c>
      <c r="I13" s="363">
        <v>231322.00000000003</v>
      </c>
      <c r="J13" s="363">
        <v>231397.00000000003</v>
      </c>
      <c r="K13" s="363">
        <v>231477</v>
      </c>
      <c r="L13" s="363"/>
      <c r="M13" s="347"/>
    </row>
    <row r="14" spans="1:13">
      <c r="A14" s="340"/>
      <c r="B14" s="252">
        <f t="shared" si="1"/>
        <v>1992</v>
      </c>
      <c r="C14" s="363"/>
      <c r="D14" s="363"/>
      <c r="E14" s="363"/>
      <c r="F14" s="363"/>
      <c r="G14" s="363">
        <v>182092</v>
      </c>
      <c r="H14" s="363">
        <v>182173</v>
      </c>
      <c r="I14" s="363">
        <v>182246</v>
      </c>
      <c r="J14" s="363">
        <v>182323</v>
      </c>
      <c r="K14" s="363"/>
      <c r="L14" s="363"/>
      <c r="M14" s="347"/>
    </row>
    <row r="15" spans="1:13">
      <c r="A15" s="340"/>
      <c r="B15" s="252">
        <f t="shared" ref="B15:B21" si="2">B16-1</f>
        <v>1993</v>
      </c>
      <c r="C15" s="363"/>
      <c r="D15" s="363"/>
      <c r="E15" s="363"/>
      <c r="F15" s="363">
        <v>142619</v>
      </c>
      <c r="G15" s="363">
        <v>142695</v>
      </c>
      <c r="H15" s="363">
        <v>142788</v>
      </c>
      <c r="I15" s="363">
        <v>142862</v>
      </c>
      <c r="J15" s="363"/>
      <c r="K15" s="363"/>
      <c r="L15" s="363"/>
      <c r="M15" s="347"/>
    </row>
    <row r="16" spans="1:13">
      <c r="A16" s="340"/>
      <c r="B16" s="252">
        <f t="shared" si="2"/>
        <v>1994</v>
      </c>
      <c r="C16" s="363"/>
      <c r="D16" s="363"/>
      <c r="E16" s="363">
        <v>129901.99999999999</v>
      </c>
      <c r="F16" s="363">
        <v>129982.99999999999</v>
      </c>
      <c r="G16" s="363">
        <v>130071.99999999999</v>
      </c>
      <c r="H16" s="363">
        <v>130180</v>
      </c>
      <c r="I16" s="363"/>
      <c r="J16" s="363"/>
      <c r="K16" s="363"/>
      <c r="L16" s="363"/>
      <c r="M16" s="347"/>
    </row>
    <row r="17" spans="1:13">
      <c r="A17" s="340"/>
      <c r="B17" s="252">
        <f t="shared" si="2"/>
        <v>1995</v>
      </c>
      <c r="C17" s="363"/>
      <c r="D17" s="363">
        <v>120700</v>
      </c>
      <c r="E17" s="363">
        <v>120808</v>
      </c>
      <c r="F17" s="363">
        <v>120930.99999999999</v>
      </c>
      <c r="G17" s="363">
        <v>121020</v>
      </c>
      <c r="H17" s="363"/>
      <c r="I17" s="363"/>
      <c r="J17" s="363"/>
      <c r="K17" s="363"/>
      <c r="L17" s="363"/>
      <c r="M17" s="347"/>
    </row>
    <row r="18" spans="1:13">
      <c r="A18" s="340"/>
      <c r="B18" s="252">
        <f t="shared" si="2"/>
        <v>1996</v>
      </c>
      <c r="C18" s="363">
        <v>115023.64658909026</v>
      </c>
      <c r="D18" s="363">
        <v>115145.41860102954</v>
      </c>
      <c r="E18" s="363">
        <v>115239.24293809751</v>
      </c>
      <c r="F18" s="363">
        <v>115369</v>
      </c>
      <c r="G18" s="363"/>
      <c r="H18" s="363"/>
      <c r="I18" s="363"/>
      <c r="J18" s="363"/>
      <c r="K18" s="363"/>
      <c r="L18" s="363"/>
      <c r="M18" s="347"/>
    </row>
    <row r="19" spans="1:13">
      <c r="A19" s="340"/>
      <c r="B19" s="252">
        <f t="shared" si="2"/>
        <v>1997</v>
      </c>
      <c r="C19" s="363">
        <v>121319.70025839792</v>
      </c>
      <c r="D19" s="363">
        <v>121486.26873385013</v>
      </c>
      <c r="E19" s="363">
        <v>121590</v>
      </c>
      <c r="F19" s="363"/>
      <c r="G19" s="363"/>
      <c r="H19" s="363"/>
      <c r="I19" s="363"/>
      <c r="J19" s="363"/>
      <c r="K19" s="363"/>
      <c r="L19" s="363"/>
      <c r="M19" s="347"/>
    </row>
    <row r="20" spans="1:13">
      <c r="A20" s="340"/>
      <c r="B20" s="252">
        <f t="shared" si="2"/>
        <v>1998</v>
      </c>
      <c r="C20" s="363">
        <v>131671</v>
      </c>
      <c r="D20" s="363">
        <v>131800</v>
      </c>
      <c r="E20" s="363"/>
      <c r="F20" s="363"/>
      <c r="G20" s="363"/>
      <c r="H20" s="363"/>
      <c r="I20" s="363"/>
      <c r="J20" s="363"/>
      <c r="K20" s="363"/>
      <c r="L20" s="363"/>
      <c r="M20" s="347"/>
    </row>
    <row r="21" spans="1:13">
      <c r="A21" s="340"/>
      <c r="B21" s="252">
        <f t="shared" si="2"/>
        <v>1999</v>
      </c>
      <c r="C21" s="363">
        <v>133469</v>
      </c>
      <c r="D21" s="363"/>
      <c r="E21" s="363"/>
      <c r="F21" s="363"/>
      <c r="G21" s="363"/>
      <c r="H21" s="363"/>
      <c r="I21" s="363"/>
      <c r="J21" s="363"/>
      <c r="K21" s="363"/>
      <c r="L21" s="363"/>
      <c r="M21" s="347"/>
    </row>
    <row r="22" spans="1:13">
      <c r="A22" s="340"/>
      <c r="B22" s="52">
        <v>2000</v>
      </c>
      <c r="C22" s="363"/>
      <c r="D22" s="363"/>
      <c r="E22" s="363"/>
      <c r="F22" s="363"/>
      <c r="G22" s="363"/>
      <c r="H22" s="363"/>
      <c r="I22" s="363"/>
      <c r="J22" s="363"/>
      <c r="K22" s="363"/>
      <c r="L22" s="363"/>
      <c r="M22" s="347"/>
    </row>
    <row r="23" spans="1:13">
      <c r="A23" s="340"/>
      <c r="B23" s="252"/>
      <c r="C23" s="73"/>
      <c r="D23" s="73"/>
      <c r="E23" s="73"/>
      <c r="F23" s="73"/>
      <c r="G23" s="73"/>
      <c r="H23" s="73"/>
      <c r="I23" s="73"/>
      <c r="J23" s="73"/>
      <c r="K23" s="73"/>
      <c r="L23" s="73"/>
      <c r="M23" s="347"/>
    </row>
    <row r="24" spans="1:13">
      <c r="A24" s="340"/>
      <c r="B24" s="56" t="s">
        <v>19</v>
      </c>
      <c r="C24" s="77">
        <f>$B$21</f>
        <v>1999</v>
      </c>
      <c r="D24" s="77">
        <f t="shared" ref="D24:J24" si="3">C24-1</f>
        <v>1998</v>
      </c>
      <c r="E24" s="77">
        <f t="shared" si="3"/>
        <v>1997</v>
      </c>
      <c r="F24" s="77">
        <f t="shared" si="3"/>
        <v>1996</v>
      </c>
      <c r="G24" s="77">
        <f t="shared" si="3"/>
        <v>1995</v>
      </c>
      <c r="H24" s="77">
        <f t="shared" si="3"/>
        <v>1994</v>
      </c>
      <c r="I24" s="77">
        <f t="shared" si="3"/>
        <v>1993</v>
      </c>
      <c r="J24" s="77">
        <f t="shared" si="3"/>
        <v>1992</v>
      </c>
      <c r="K24" s="77">
        <f t="shared" ref="K24:L24" si="4">J24-1</f>
        <v>1991</v>
      </c>
      <c r="L24" s="77">
        <f t="shared" si="4"/>
        <v>1990</v>
      </c>
      <c r="M24" s="77"/>
    </row>
    <row r="25" spans="1:13">
      <c r="A25" s="353"/>
      <c r="B25" s="56"/>
      <c r="C25" s="77"/>
      <c r="D25" s="77"/>
      <c r="E25" s="77"/>
      <c r="F25" s="77"/>
      <c r="G25" s="77"/>
      <c r="H25" s="77"/>
      <c r="I25" s="77"/>
      <c r="J25" s="77"/>
      <c r="K25" s="77"/>
      <c r="L25" s="77"/>
      <c r="M25" s="77"/>
    </row>
    <row r="26" spans="1:13">
      <c r="A26" s="311" t="s">
        <v>395</v>
      </c>
      <c r="B26" s="56"/>
      <c r="C26" s="443">
        <v>134834.96337477386</v>
      </c>
      <c r="D26" s="443">
        <v>133056.45771207861</v>
      </c>
      <c r="E26" s="443">
        <v>122569.27522657112</v>
      </c>
      <c r="F26" s="443">
        <v>116118.10232800021</v>
      </c>
      <c r="G26" s="443">
        <v>121690.13805685817</v>
      </c>
      <c r="H26" s="443">
        <v>130705.22281067367</v>
      </c>
      <c r="I26" s="443">
        <v>143292.0962551822</v>
      </c>
      <c r="J26" s="443">
        <v>182747.93403947772</v>
      </c>
      <c r="K26" s="443">
        <v>231926.02925437648</v>
      </c>
      <c r="L26" s="443">
        <v>231362</v>
      </c>
      <c r="M26" s="345"/>
    </row>
    <row r="27" spans="1:13">
      <c r="A27" s="340"/>
      <c r="B27" s="252"/>
      <c r="C27" s="73"/>
      <c r="D27" s="73"/>
      <c r="E27" s="73"/>
      <c r="F27" s="73"/>
      <c r="G27" s="73"/>
      <c r="H27" s="73"/>
      <c r="I27" s="73"/>
      <c r="J27" s="73"/>
      <c r="K27" s="73"/>
      <c r="L27" s="73"/>
      <c r="M27" s="347"/>
    </row>
    <row r="28" spans="1:13">
      <c r="A28" s="340"/>
      <c r="B28" s="252"/>
      <c r="C28" s="340"/>
      <c r="D28" s="340"/>
      <c r="E28" s="340"/>
      <c r="F28" s="340"/>
      <c r="G28" s="340"/>
      <c r="H28" s="340"/>
      <c r="I28" s="340"/>
      <c r="J28" s="340"/>
      <c r="K28" s="340"/>
      <c r="L28" s="340"/>
      <c r="M28" s="347"/>
    </row>
    <row r="29" spans="1:13">
      <c r="A29" s="341" t="s">
        <v>396</v>
      </c>
      <c r="B29" s="341"/>
      <c r="C29" s="341"/>
      <c r="D29" s="341"/>
      <c r="E29" s="341"/>
      <c r="F29" s="341"/>
      <c r="G29" s="341"/>
      <c r="H29" s="341"/>
      <c r="I29" s="341"/>
      <c r="J29" s="341"/>
      <c r="K29" s="341"/>
      <c r="L29" s="341"/>
      <c r="M29" s="347"/>
    </row>
    <row r="30" spans="1:13">
      <c r="A30" s="340"/>
      <c r="B30" s="340"/>
      <c r="C30" s="340"/>
      <c r="D30" s="340"/>
      <c r="E30" s="340"/>
      <c r="F30" s="340"/>
      <c r="G30" s="340"/>
      <c r="H30" s="340"/>
      <c r="I30" s="340"/>
      <c r="J30" s="340"/>
      <c r="K30" s="340"/>
      <c r="L30" s="340"/>
      <c r="M30" s="347"/>
    </row>
    <row r="31" spans="1:13">
      <c r="A31" s="340"/>
      <c r="B31" s="252" t="s">
        <v>197</v>
      </c>
      <c r="C31" s="344" t="s">
        <v>294</v>
      </c>
      <c r="D31" s="348"/>
      <c r="E31" s="348"/>
      <c r="F31" s="348"/>
      <c r="G31" s="348"/>
      <c r="H31" s="348"/>
      <c r="I31" s="348"/>
      <c r="J31" s="348"/>
      <c r="K31" s="348"/>
      <c r="L31" s="348"/>
      <c r="M31" s="347"/>
    </row>
    <row r="32" spans="1:13">
      <c r="A32" s="340"/>
      <c r="B32" s="26" t="s">
        <v>8</v>
      </c>
      <c r="C32" s="77">
        <f>C$11</f>
        <v>288</v>
      </c>
      <c r="D32" s="77">
        <f>+C32+12</f>
        <v>300</v>
      </c>
      <c r="E32" s="77">
        <f>+D32+12</f>
        <v>312</v>
      </c>
      <c r="F32" s="77">
        <f>+E32+12</f>
        <v>324</v>
      </c>
      <c r="G32" s="77">
        <f>+F32+12</f>
        <v>336</v>
      </c>
      <c r="H32" s="77">
        <f t="shared" ref="H32:L32" si="5">+G32+12</f>
        <v>348</v>
      </c>
      <c r="I32" s="77">
        <f t="shared" si="5"/>
        <v>360</v>
      </c>
      <c r="J32" s="77">
        <f t="shared" si="5"/>
        <v>372</v>
      </c>
      <c r="K32" s="77">
        <f t="shared" si="5"/>
        <v>384</v>
      </c>
      <c r="L32" s="77">
        <f t="shared" si="5"/>
        <v>396</v>
      </c>
      <c r="M32" s="347"/>
    </row>
    <row r="33" spans="1:13">
      <c r="A33" s="340"/>
      <c r="B33" s="252">
        <f t="shared" ref="B33:B35" si="6">B34-1</f>
        <v>1990</v>
      </c>
      <c r="C33" s="73"/>
      <c r="D33" s="73"/>
      <c r="E33" s="73"/>
      <c r="F33" s="73"/>
      <c r="G33" s="73"/>
      <c r="H33" s="73"/>
      <c r="I33" s="445">
        <f>I12/INDEX($C$26:$L$26,MATCH($B33,$C$24:$L$24,0))</f>
        <v>0.99763573966338492</v>
      </c>
      <c r="J33" s="445">
        <f t="shared" ref="I33:L34" si="7">J12/INDEX($C$26:$L$26,MATCH($B33,$C$24:$L$24,0))</f>
        <v>0.99798584037136628</v>
      </c>
      <c r="K33" s="445">
        <f t="shared" ref="K33" si="8">K12/INDEX($C$26:$L$26,MATCH($B33,$C$24:$L$24,0))</f>
        <v>0.99832297438645945</v>
      </c>
      <c r="L33" s="445">
        <f t="shared" si="7"/>
        <v>0.99865146393962712</v>
      </c>
      <c r="M33" s="347"/>
    </row>
    <row r="34" spans="1:13">
      <c r="A34" s="340"/>
      <c r="B34" s="252">
        <f t="shared" si="6"/>
        <v>1991</v>
      </c>
      <c r="C34" s="73"/>
      <c r="D34" s="73"/>
      <c r="E34" s="73"/>
      <c r="F34" s="73"/>
      <c r="G34" s="73"/>
      <c r="H34" s="445">
        <f>H13/INDEX($C$26:$L$26,MATCH($B34,$C$24:$L$24,0))</f>
        <v>0.99698598188127563</v>
      </c>
      <c r="I34" s="445">
        <f t="shared" si="7"/>
        <v>0.99739559524078281</v>
      </c>
      <c r="J34" s="445">
        <f t="shared" si="7"/>
        <v>0.99771897420881461</v>
      </c>
      <c r="K34" s="445">
        <f t="shared" si="7"/>
        <v>0.9980639117747151</v>
      </c>
      <c r="L34" s="445"/>
      <c r="M34" s="347"/>
    </row>
    <row r="35" spans="1:13">
      <c r="A35" s="340"/>
      <c r="B35" s="252">
        <f t="shared" si="6"/>
        <v>1992</v>
      </c>
      <c r="C35" s="73"/>
      <c r="D35" s="73"/>
      <c r="E35" s="73"/>
      <c r="F35" s="73"/>
      <c r="G35" s="445">
        <f>G14/INDEX($C$26:$L$26,MATCH($B35,$C$24:$L$24,0))</f>
        <v>0.99641071707362761</v>
      </c>
      <c r="H35" s="445">
        <f t="shared" ref="H35:J35" si="9">H14/INDEX($C$26:$L$26,MATCH($B35,$C$24:$L$24,0))</f>
        <v>0.9968539505384858</v>
      </c>
      <c r="I35" s="445">
        <f t="shared" si="9"/>
        <v>0.99725340785866667</v>
      </c>
      <c r="J35" s="445">
        <f t="shared" si="9"/>
        <v>0.99767475325118626</v>
      </c>
      <c r="K35" s="445"/>
      <c r="L35" s="73"/>
      <c r="M35" s="347"/>
    </row>
    <row r="36" spans="1:13">
      <c r="A36" s="340"/>
      <c r="B36" s="252">
        <f t="shared" ref="B36:B41" si="10">B37-1</f>
        <v>1993</v>
      </c>
      <c r="C36" s="73"/>
      <c r="D36" s="73"/>
      <c r="E36" s="73"/>
      <c r="F36" s="445">
        <f>F15/INDEX($C$26:$L$26,MATCH($B36,$C$24:$L$24,0))</f>
        <v>0.99530262817857362</v>
      </c>
      <c r="G36" s="445">
        <f t="shared" ref="G36:I36" si="11">G15/INDEX($C$26:$L$26,MATCH($B36,$C$24:$L$24,0))</f>
        <v>0.99583301332881013</v>
      </c>
      <c r="H36" s="445">
        <f t="shared" si="11"/>
        <v>0.99648203726265205</v>
      </c>
      <c r="I36" s="445">
        <f t="shared" si="11"/>
        <v>0.99699846490893496</v>
      </c>
      <c r="J36" s="445"/>
      <c r="K36" s="73"/>
      <c r="L36" s="73"/>
      <c r="M36" s="347"/>
    </row>
    <row r="37" spans="1:13">
      <c r="A37" s="340"/>
      <c r="B37" s="252">
        <f t="shared" si="10"/>
        <v>1994</v>
      </c>
      <c r="C37" s="73"/>
      <c r="D37" s="73"/>
      <c r="E37" s="445">
        <f>E16/INDEX($C$26:$L$26,MATCH($B37,$C$24:$L$24,0))</f>
        <v>0.99385469996224129</v>
      </c>
      <c r="F37" s="445">
        <f t="shared" ref="F37:H37" si="12">F16/INDEX($C$26:$L$26,MATCH($B37,$C$24:$L$24,0))</f>
        <v>0.9944744150605227</v>
      </c>
      <c r="G37" s="445">
        <f t="shared" si="12"/>
        <v>0.99515533658826394</v>
      </c>
      <c r="H37" s="445">
        <f t="shared" si="12"/>
        <v>0.9959816233859724</v>
      </c>
      <c r="I37" s="445"/>
      <c r="J37" s="73"/>
      <c r="K37" s="73"/>
      <c r="L37" s="73"/>
      <c r="M37" s="347"/>
    </row>
    <row r="38" spans="1:13">
      <c r="A38" s="340"/>
      <c r="B38" s="252">
        <f t="shared" si="10"/>
        <v>1995</v>
      </c>
      <c r="C38" s="73"/>
      <c r="D38" s="445">
        <f>D17/INDEX($C$26:$L$26,MATCH($B38,$C$24:$L$24,0))</f>
        <v>0.99186344865189047</v>
      </c>
      <c r="E38" s="445">
        <f t="shared" ref="E38:G38" si="13">E17/INDEX($C$26:$L$26,MATCH($B38,$C$24:$L$24,0))</f>
        <v>0.99275094867222524</v>
      </c>
      <c r="F38" s="445">
        <f t="shared" si="13"/>
        <v>0.99376171258427304</v>
      </c>
      <c r="G38" s="445">
        <f t="shared" si="13"/>
        <v>0.99449307834177114</v>
      </c>
      <c r="H38" s="445"/>
      <c r="I38" s="73"/>
      <c r="J38" s="73"/>
      <c r="K38" s="73"/>
      <c r="L38" s="73"/>
      <c r="M38" s="347"/>
    </row>
    <row r="39" spans="1:13">
      <c r="A39" s="340"/>
      <c r="B39" s="252">
        <f t="shared" si="10"/>
        <v>1996</v>
      </c>
      <c r="C39" s="445">
        <f>C18/INDEX($C$26:$L$26,MATCH($B39,$C$24:$L$24,0))</f>
        <v>0.99057463292141623</v>
      </c>
      <c r="D39" s="445">
        <f t="shared" ref="C39:D42" si="14">D18/INDEX($C$26:$L$26,MATCH($B39,$C$24:$L$24,0))</f>
        <v>0.99162332394803421</v>
      </c>
      <c r="E39" s="445">
        <f t="shared" ref="E39:F39" si="15">E18/INDEX($C$26:$L$26,MATCH($B39,$C$24:$L$24,0))</f>
        <v>0.9924313317882153</v>
      </c>
      <c r="F39" s="445">
        <f t="shared" si="15"/>
        <v>0.99354878943952929</v>
      </c>
      <c r="G39" s="445"/>
      <c r="H39" s="73"/>
      <c r="I39" s="73"/>
      <c r="J39" s="73"/>
      <c r="K39" s="73"/>
      <c r="L39" s="73"/>
      <c r="M39" s="347"/>
    </row>
    <row r="40" spans="1:13">
      <c r="A40" s="340"/>
      <c r="B40" s="252">
        <f t="shared" si="10"/>
        <v>1997</v>
      </c>
      <c r="C40" s="445">
        <f t="shared" si="14"/>
        <v>0.9898051533235932</v>
      </c>
      <c r="D40" s="445">
        <f t="shared" si="14"/>
        <v>0.99116412746408888</v>
      </c>
      <c r="E40" s="445">
        <f t="shared" ref="E40" si="16">E19/INDEX($C$26:$L$26,MATCH($B40,$C$24:$L$24,0))</f>
        <v>0.99201043471325978</v>
      </c>
      <c r="F40" s="445"/>
      <c r="G40" s="73"/>
      <c r="H40" s="73"/>
      <c r="I40" s="73"/>
      <c r="J40" s="73"/>
      <c r="K40" s="73"/>
      <c r="L40" s="73"/>
      <c r="M40" s="347"/>
    </row>
    <row r="41" spans="1:13">
      <c r="A41" s="340"/>
      <c r="B41" s="252">
        <f t="shared" si="10"/>
        <v>1998</v>
      </c>
      <c r="C41" s="445">
        <f t="shared" si="14"/>
        <v>0.98958744478921412</v>
      </c>
      <c r="D41" s="445">
        <f t="shared" si="14"/>
        <v>0.99055695804860922</v>
      </c>
      <c r="E41" s="445"/>
      <c r="F41" s="73"/>
      <c r="G41" s="73"/>
      <c r="H41" s="73"/>
      <c r="I41" s="73"/>
      <c r="J41" s="73"/>
      <c r="K41" s="73"/>
      <c r="L41" s="73"/>
      <c r="M41" s="347"/>
    </row>
    <row r="42" spans="1:13">
      <c r="A42" s="340"/>
      <c r="B42" s="252">
        <f>$B$21</f>
        <v>1999</v>
      </c>
      <c r="C42" s="445">
        <f t="shared" si="14"/>
        <v>0.98986936814765791</v>
      </c>
      <c r="D42" s="445"/>
      <c r="E42" s="73"/>
      <c r="F42" s="73"/>
      <c r="G42" s="73"/>
      <c r="H42" s="73"/>
      <c r="I42" s="73"/>
      <c r="J42" s="73"/>
      <c r="K42" s="73"/>
      <c r="L42" s="73"/>
      <c r="M42" s="347"/>
    </row>
    <row r="43" spans="1:13">
      <c r="A43" s="340"/>
      <c r="B43" s="252"/>
      <c r="C43" s="346"/>
      <c r="D43" s="73"/>
      <c r="E43" s="73"/>
      <c r="F43" s="73"/>
      <c r="G43" s="73"/>
      <c r="H43" s="73"/>
      <c r="I43" s="73"/>
      <c r="J43" s="73"/>
      <c r="K43" s="73"/>
      <c r="L43" s="73"/>
      <c r="M43" s="347"/>
    </row>
    <row r="44" spans="1:13">
      <c r="A44" s="342"/>
      <c r="B44" s="252"/>
      <c r="C44" s="346"/>
      <c r="D44" s="73"/>
      <c r="E44" s="73"/>
      <c r="F44" s="73"/>
      <c r="G44" s="73"/>
      <c r="H44" s="73"/>
      <c r="I44" s="73"/>
      <c r="J44" s="73"/>
      <c r="K44" s="73"/>
      <c r="L44" s="73"/>
      <c r="M44" s="347"/>
    </row>
    <row r="45" spans="1:13">
      <c r="A45" s="342"/>
      <c r="B45" s="252"/>
      <c r="C45" s="346"/>
      <c r="D45" s="73"/>
      <c r="E45" s="73"/>
      <c r="F45" s="73"/>
      <c r="G45" s="73"/>
      <c r="H45" s="73"/>
      <c r="I45" s="73"/>
      <c r="J45" s="73"/>
      <c r="K45" s="73"/>
      <c r="L45" s="73"/>
      <c r="M45" s="347"/>
    </row>
    <row r="46" spans="1:13">
      <c r="A46" s="342"/>
      <c r="B46" s="252"/>
      <c r="C46" s="346"/>
      <c r="D46" s="73"/>
      <c r="E46" s="73"/>
      <c r="F46" s="73"/>
      <c r="G46" s="73"/>
      <c r="H46" s="73"/>
      <c r="I46" s="73"/>
      <c r="J46" s="73"/>
      <c r="K46" s="73"/>
      <c r="L46" s="73"/>
      <c r="M46" s="347"/>
    </row>
    <row r="47" spans="1:13">
      <c r="A47" s="353"/>
      <c r="B47" s="252"/>
      <c r="C47" s="346"/>
      <c r="D47" s="73"/>
      <c r="E47" s="73"/>
      <c r="F47" s="73"/>
      <c r="G47" s="73"/>
      <c r="H47" s="73"/>
      <c r="I47" s="73"/>
      <c r="J47" s="73"/>
      <c r="K47" s="73"/>
      <c r="L47" s="73"/>
      <c r="M47" s="347"/>
    </row>
    <row r="48" spans="1:13">
      <c r="A48" s="353"/>
      <c r="B48" s="252"/>
      <c r="C48" s="346"/>
      <c r="D48" s="73"/>
      <c r="E48" s="73"/>
      <c r="F48" s="73"/>
      <c r="G48" s="73"/>
      <c r="H48" s="73"/>
      <c r="I48" s="73"/>
      <c r="J48" s="73"/>
      <c r="K48" s="73"/>
      <c r="L48" s="73"/>
      <c r="M48" s="347"/>
    </row>
    <row r="49" spans="1:13">
      <c r="A49" s="353"/>
      <c r="B49" s="252"/>
      <c r="C49" s="346"/>
      <c r="D49" s="73"/>
      <c r="E49" s="73"/>
      <c r="F49" s="73"/>
      <c r="G49" s="73"/>
      <c r="H49" s="73"/>
      <c r="I49" s="73"/>
      <c r="J49" s="73"/>
      <c r="K49" s="73"/>
      <c r="L49" s="73"/>
      <c r="M49" s="347"/>
    </row>
    <row r="50" spans="1:13">
      <c r="A50" s="347"/>
      <c r="B50" s="347"/>
      <c r="C50" s="347"/>
      <c r="D50" s="347"/>
      <c r="E50" s="347"/>
      <c r="F50" s="347"/>
      <c r="G50" s="347"/>
      <c r="H50" s="347"/>
      <c r="I50" s="347"/>
      <c r="J50" s="347"/>
      <c r="K50" s="347"/>
      <c r="L50" s="347"/>
      <c r="M50" s="347"/>
    </row>
    <row r="51" spans="1:13">
      <c r="A51" s="349" t="s">
        <v>22</v>
      </c>
      <c r="B51" s="347" t="s">
        <v>394</v>
      </c>
      <c r="C51" s="347"/>
      <c r="D51" s="347"/>
      <c r="E51" s="347"/>
      <c r="F51" s="347"/>
      <c r="G51" s="347"/>
      <c r="H51" s="347"/>
      <c r="I51" s="347"/>
      <c r="J51" s="347"/>
      <c r="K51" s="347"/>
      <c r="L51" s="347"/>
      <c r="M51" s="347"/>
    </row>
    <row r="52" spans="1:13">
      <c r="A52" s="349" t="s">
        <v>28</v>
      </c>
      <c r="B52" s="347" t="s">
        <v>390</v>
      </c>
      <c r="C52" s="347"/>
      <c r="D52" s="347"/>
      <c r="E52" s="347"/>
      <c r="F52" s="347"/>
      <c r="G52" s="347"/>
      <c r="H52" s="347"/>
      <c r="I52" s="347"/>
      <c r="J52" s="347"/>
      <c r="K52" s="347"/>
      <c r="L52" s="347"/>
      <c r="M52" s="347"/>
    </row>
    <row r="53" spans="1:13">
      <c r="A53" s="347"/>
      <c r="B53" s="347"/>
      <c r="C53" s="347"/>
      <c r="D53" s="347"/>
      <c r="E53" s="347"/>
      <c r="F53" s="347"/>
      <c r="G53" s="347"/>
      <c r="H53" s="347"/>
      <c r="I53" s="347"/>
      <c r="J53" s="347"/>
      <c r="K53" s="347"/>
      <c r="L53" s="347"/>
      <c r="M53" s="347"/>
    </row>
    <row r="54" spans="1:13">
      <c r="A54" s="347"/>
      <c r="B54" s="347" t="s">
        <v>272</v>
      </c>
      <c r="C54" s="347"/>
      <c r="D54" s="347"/>
      <c r="E54" s="347"/>
      <c r="F54" s="347"/>
      <c r="G54" s="347"/>
      <c r="H54" s="347"/>
      <c r="I54" s="347"/>
      <c r="J54" s="347"/>
      <c r="K54" s="347"/>
      <c r="L54" s="347"/>
      <c r="M54" s="347"/>
    </row>
    <row r="55" spans="1:13">
      <c r="A55" s="347"/>
      <c r="B55" s="347"/>
      <c r="C55" s="347"/>
      <c r="D55" s="347"/>
      <c r="E55" s="347"/>
      <c r="F55" s="347"/>
      <c r="G55" s="347"/>
      <c r="H55" s="347"/>
      <c r="I55" s="347"/>
      <c r="J55" s="347"/>
      <c r="K55" s="347"/>
      <c r="L55" s="347"/>
      <c r="M55" s="143" t="s">
        <v>386</v>
      </c>
    </row>
    <row r="56" spans="1:13">
      <c r="A56" s="245" t="str">
        <f>A2</f>
        <v>Paid Loss Development Factors</v>
      </c>
      <c r="B56" s="245"/>
      <c r="C56" s="245"/>
      <c r="D56" s="245"/>
      <c r="E56" s="245"/>
      <c r="F56" s="245"/>
      <c r="G56" s="245"/>
      <c r="H56" s="245"/>
      <c r="I56" s="245"/>
      <c r="J56" s="245"/>
      <c r="K56" s="245"/>
      <c r="L56" s="245"/>
      <c r="M56" s="245"/>
    </row>
    <row r="57" spans="1:13">
      <c r="A57" s="245" t="str">
        <f>A3</f>
        <v>Adjusted for the Impact of Claim Settlement Rate</v>
      </c>
      <c r="B57" s="245"/>
      <c r="C57" s="245"/>
      <c r="D57" s="245"/>
      <c r="E57" s="245"/>
      <c r="F57" s="245"/>
      <c r="G57" s="245"/>
      <c r="H57" s="245"/>
      <c r="I57" s="245"/>
      <c r="J57" s="245"/>
      <c r="K57" s="245"/>
      <c r="L57" s="245"/>
      <c r="M57" s="245"/>
    </row>
    <row r="58" spans="1:13">
      <c r="A58" s="245" t="str">
        <f>A4</f>
        <v>Changes on Later Period Development</v>
      </c>
      <c r="B58" s="245"/>
      <c r="C58" s="245"/>
      <c r="D58" s="245"/>
      <c r="E58" s="245"/>
      <c r="F58" s="245"/>
      <c r="G58" s="245"/>
      <c r="H58" s="245"/>
      <c r="I58" s="245"/>
      <c r="J58" s="245"/>
      <c r="K58" s="245"/>
      <c r="L58" s="245"/>
      <c r="M58" s="245"/>
    </row>
    <row r="59" spans="1:13">
      <c r="A59" s="245"/>
      <c r="B59" s="245"/>
      <c r="C59" s="245"/>
      <c r="D59" s="245"/>
      <c r="E59" s="245"/>
      <c r="F59" s="245"/>
      <c r="G59" s="245"/>
      <c r="H59" s="245"/>
      <c r="I59" s="245"/>
      <c r="J59" s="245"/>
      <c r="K59" s="245"/>
      <c r="L59" s="245"/>
      <c r="M59" s="245"/>
    </row>
    <row r="60" spans="1:13">
      <c r="A60" s="245"/>
      <c r="B60" s="245"/>
      <c r="C60" s="245"/>
      <c r="D60" s="245"/>
      <c r="E60" s="245"/>
      <c r="F60" s="245"/>
      <c r="G60" s="245"/>
      <c r="H60" s="245"/>
      <c r="I60" s="245"/>
      <c r="J60" s="245"/>
      <c r="K60" s="245"/>
      <c r="L60" s="245"/>
      <c r="M60" s="245"/>
    </row>
    <row r="61" spans="1:13">
      <c r="A61" s="347"/>
      <c r="B61" s="347"/>
      <c r="C61" s="347"/>
      <c r="D61" s="347"/>
      <c r="E61" s="347"/>
      <c r="F61" s="347"/>
      <c r="G61" s="347"/>
      <c r="H61" s="347"/>
      <c r="I61" s="347"/>
      <c r="J61" s="347"/>
      <c r="K61" s="347"/>
      <c r="L61" s="347"/>
      <c r="M61" s="347"/>
    </row>
    <row r="62" spans="1:13">
      <c r="A62" s="341" t="s">
        <v>397</v>
      </c>
      <c r="B62" s="341"/>
      <c r="C62" s="341"/>
      <c r="D62" s="341"/>
      <c r="E62" s="341"/>
      <c r="F62" s="341"/>
      <c r="G62" s="341"/>
      <c r="H62" s="341"/>
      <c r="I62" s="341"/>
      <c r="J62" s="341"/>
      <c r="K62" s="341"/>
      <c r="L62" s="341"/>
      <c r="M62" s="347"/>
    </row>
    <row r="63" spans="1:13">
      <c r="A63" s="340"/>
      <c r="B63" s="340"/>
      <c r="C63" s="340"/>
      <c r="D63" s="340"/>
      <c r="E63" s="340"/>
      <c r="F63" s="340"/>
      <c r="G63" s="340"/>
      <c r="H63" s="340"/>
      <c r="I63" s="340"/>
      <c r="J63" s="340"/>
      <c r="K63" s="340"/>
      <c r="L63" s="340"/>
      <c r="M63" s="347"/>
    </row>
    <row r="64" spans="1:13">
      <c r="A64" s="340"/>
      <c r="B64" s="252" t="s">
        <v>197</v>
      </c>
      <c r="C64" s="344" t="s">
        <v>294</v>
      </c>
      <c r="D64" s="348"/>
      <c r="E64" s="348"/>
      <c r="F64" s="348"/>
      <c r="G64" s="348"/>
      <c r="H64" s="348"/>
      <c r="I64" s="348"/>
      <c r="J64" s="348"/>
      <c r="K64" s="348"/>
      <c r="L64" s="348"/>
      <c r="M64" s="347"/>
    </row>
    <row r="65" spans="1:13">
      <c r="A65" s="340"/>
      <c r="B65" s="26" t="s">
        <v>8</v>
      </c>
      <c r="C65" s="77" t="str">
        <f>C$11-12&amp;"-"&amp;C$11</f>
        <v>276-288</v>
      </c>
      <c r="D65" s="77" t="str">
        <f t="shared" ref="D65:L65" si="17">D$11-12&amp;"-"&amp;D$11</f>
        <v>288-300</v>
      </c>
      <c r="E65" s="77" t="str">
        <f t="shared" si="17"/>
        <v>300-312</v>
      </c>
      <c r="F65" s="77" t="str">
        <f t="shared" si="17"/>
        <v>312-324</v>
      </c>
      <c r="G65" s="77" t="str">
        <f t="shared" si="17"/>
        <v>324-336</v>
      </c>
      <c r="H65" s="77" t="str">
        <f t="shared" si="17"/>
        <v>336-348</v>
      </c>
      <c r="I65" s="77" t="str">
        <f t="shared" si="17"/>
        <v>348-360</v>
      </c>
      <c r="J65" s="77" t="str">
        <f t="shared" si="17"/>
        <v>360-372</v>
      </c>
      <c r="K65" s="77" t="str">
        <f t="shared" si="17"/>
        <v>372-384</v>
      </c>
      <c r="L65" s="77" t="str">
        <f t="shared" si="17"/>
        <v>384-396</v>
      </c>
      <c r="M65" s="347"/>
    </row>
    <row r="66" spans="1:13">
      <c r="A66" s="340"/>
      <c r="B66" s="252">
        <f t="shared" ref="B66:B68" si="18">B67-1</f>
        <v>1990</v>
      </c>
      <c r="C66" s="363"/>
      <c r="D66" s="363"/>
      <c r="E66" s="363"/>
      <c r="F66" s="363"/>
      <c r="G66" s="363"/>
      <c r="H66" s="363"/>
      <c r="I66" s="363"/>
      <c r="J66" s="444" t="s">
        <v>32</v>
      </c>
      <c r="K66" s="444" t="s">
        <v>32</v>
      </c>
      <c r="L66" s="444" t="s">
        <v>32</v>
      </c>
      <c r="M66" s="347"/>
    </row>
    <row r="67" spans="1:13">
      <c r="A67" s="340"/>
      <c r="B67" s="252">
        <f t="shared" si="18"/>
        <v>1991</v>
      </c>
      <c r="C67" s="363"/>
      <c r="D67" s="363"/>
      <c r="E67" s="363"/>
      <c r="F67" s="363"/>
      <c r="G67" s="363"/>
      <c r="H67" s="363"/>
      <c r="I67" s="444">
        <v>0.14808043875684226</v>
      </c>
      <c r="J67" s="444">
        <v>0.16738197424891144</v>
      </c>
      <c r="K67" s="444">
        <v>0.19587628865975151</v>
      </c>
      <c r="L67" s="444"/>
      <c r="M67" s="347"/>
    </row>
    <row r="68" spans="1:13">
      <c r="A68" s="340"/>
      <c r="B68" s="252">
        <f t="shared" si="18"/>
        <v>1992</v>
      </c>
      <c r="C68" s="363"/>
      <c r="D68" s="363"/>
      <c r="E68" s="363"/>
      <c r="F68" s="363"/>
      <c r="G68" s="363"/>
      <c r="H68" s="444">
        <v>0.13590275286086823</v>
      </c>
      <c r="I68" s="444">
        <v>0.12416617151667497</v>
      </c>
      <c r="J68" s="444">
        <v>0.1512203707794238</v>
      </c>
      <c r="K68" s="444"/>
      <c r="L68" s="363"/>
      <c r="M68" s="347"/>
    </row>
    <row r="69" spans="1:13">
      <c r="A69" s="340"/>
      <c r="B69" s="252">
        <f t="shared" ref="B69:B74" si="19">B70-1</f>
        <v>1993</v>
      </c>
      <c r="C69" s="363"/>
      <c r="D69" s="363"/>
      <c r="E69" s="363"/>
      <c r="F69" s="363"/>
      <c r="G69" s="444">
        <v>0.12348802642486605</v>
      </c>
      <c r="H69" s="444">
        <v>0.12697108709429322</v>
      </c>
      <c r="I69" s="444">
        <v>0.15340661111592957</v>
      </c>
      <c r="J69" s="444"/>
      <c r="K69" s="363"/>
      <c r="L69" s="363"/>
      <c r="M69" s="347"/>
    </row>
    <row r="70" spans="1:13">
      <c r="A70" s="340"/>
      <c r="B70" s="252">
        <f t="shared" si="19"/>
        <v>1994</v>
      </c>
      <c r="C70" s="363"/>
      <c r="D70" s="363"/>
      <c r="E70" s="363"/>
      <c r="F70" s="444">
        <v>0.112911042685026</v>
      </c>
      <c r="G70" s="444">
        <v>0.15575378206251692</v>
      </c>
      <c r="H70" s="444">
        <v>0.14679736109775188</v>
      </c>
      <c r="I70" s="444"/>
      <c r="J70" s="363"/>
      <c r="K70" s="363"/>
      <c r="L70" s="363"/>
      <c r="M70" s="347"/>
    </row>
    <row r="71" spans="1:13">
      <c r="A71" s="340"/>
      <c r="B71" s="252">
        <f t="shared" si="19"/>
        <v>1995</v>
      </c>
      <c r="C71" s="363"/>
      <c r="D71" s="363"/>
      <c r="E71" s="444">
        <v>0.1008437496092419</v>
      </c>
      <c r="F71" s="444">
        <v>0.12323066882501911</v>
      </c>
      <c r="G71" s="444">
        <v>0.17055607943924603</v>
      </c>
      <c r="H71" s="444"/>
      <c r="I71" s="363"/>
      <c r="J71" s="363"/>
      <c r="K71" s="363"/>
      <c r="L71" s="363"/>
      <c r="M71" s="347"/>
    </row>
    <row r="72" spans="1:13">
      <c r="A72" s="340"/>
      <c r="B72" s="252">
        <f t="shared" si="19"/>
        <v>1996</v>
      </c>
      <c r="C72" s="363"/>
      <c r="D72" s="444">
        <v>0.10907569833514034</v>
      </c>
      <c r="E72" s="444">
        <v>0.13943395712692111</v>
      </c>
      <c r="F72" s="444">
        <v>0.11723822721830714</v>
      </c>
      <c r="G72" s="444"/>
      <c r="H72" s="363"/>
      <c r="I72" s="363"/>
      <c r="J72" s="363"/>
      <c r="K72" s="363"/>
      <c r="L72" s="363"/>
      <c r="M72" s="347"/>
    </row>
    <row r="73" spans="1:13">
      <c r="A73" s="340"/>
      <c r="B73" s="252">
        <f t="shared" si="19"/>
        <v>1997</v>
      </c>
      <c r="C73" s="444">
        <v>0.11126261904438736</v>
      </c>
      <c r="D73" s="444">
        <v>9.6459244116462159E-2</v>
      </c>
      <c r="E73" s="444">
        <v>0.14764257330953778</v>
      </c>
      <c r="F73" s="444"/>
      <c r="G73" s="363"/>
      <c r="H73" s="363"/>
      <c r="I73" s="363"/>
      <c r="J73" s="363"/>
      <c r="K73" s="363"/>
      <c r="L73" s="363"/>
      <c r="M73" s="347"/>
    </row>
    <row r="74" spans="1:13">
      <c r="A74" s="340"/>
      <c r="B74" s="252">
        <f t="shared" si="19"/>
        <v>1998</v>
      </c>
      <c r="C74" s="444">
        <v>0.13330010579174864</v>
      </c>
      <c r="D74" s="444">
        <v>9.5780834969189529E-2</v>
      </c>
      <c r="E74" s="444"/>
      <c r="F74" s="363"/>
      <c r="G74" s="363"/>
      <c r="H74" s="363"/>
      <c r="I74" s="363"/>
      <c r="J74" s="363"/>
      <c r="K74" s="363"/>
      <c r="L74" s="363"/>
      <c r="M74" s="347"/>
    </row>
    <row r="75" spans="1:13">
      <c r="A75" s="340"/>
      <c r="B75" s="252">
        <f>$B$21</f>
        <v>1999</v>
      </c>
      <c r="C75" s="444">
        <v>9.3110023406245232E-2</v>
      </c>
      <c r="D75" s="444"/>
      <c r="E75" s="363"/>
      <c r="F75" s="363"/>
      <c r="G75" s="363"/>
      <c r="H75" s="363"/>
      <c r="I75" s="363"/>
      <c r="J75" s="363"/>
      <c r="K75" s="363"/>
      <c r="L75" s="363"/>
      <c r="M75" s="347"/>
    </row>
    <row r="76" spans="1:13">
      <c r="A76" s="340"/>
      <c r="B76" s="252">
        <f>$B$22</f>
        <v>2000</v>
      </c>
      <c r="C76" s="444"/>
      <c r="D76" s="363"/>
      <c r="E76" s="363"/>
      <c r="F76" s="363"/>
      <c r="G76" s="363"/>
      <c r="H76" s="363"/>
      <c r="I76" s="363"/>
      <c r="J76" s="363"/>
      <c r="K76" s="363"/>
      <c r="L76" s="363"/>
      <c r="M76" s="347"/>
    </row>
    <row r="77" spans="1:13">
      <c r="A77" s="340"/>
      <c r="B77" s="340"/>
      <c r="C77" s="340"/>
      <c r="D77" s="340"/>
      <c r="E77" s="340"/>
      <c r="F77" s="340"/>
      <c r="G77" s="340"/>
      <c r="H77" s="340"/>
      <c r="I77" s="340"/>
      <c r="J77" s="340"/>
      <c r="K77" s="340"/>
      <c r="L77" s="340"/>
      <c r="M77" s="347"/>
    </row>
    <row r="78" spans="1:13">
      <c r="A78" s="49"/>
      <c r="B78" s="56" t="s">
        <v>266</v>
      </c>
      <c r="C78" s="445">
        <f ca="1">AVERAGE(OFFSET(C$74:C$76,-COUNTA($C$65:C$65),0))</f>
        <v>0.11255758274746042</v>
      </c>
      <c r="D78" s="445">
        <f ca="1">AVERAGE(OFFSET(D$74:D$76,-COUNTA($C$65:D$65),0))</f>
        <v>0.10043859247359734</v>
      </c>
      <c r="E78" s="445">
        <f ca="1">AVERAGE(OFFSET(E$74:E$76,-COUNTA($C$65:E$65),0))</f>
        <v>0.12930676001523358</v>
      </c>
      <c r="F78" s="445">
        <f ca="1">AVERAGE(OFFSET(F$74:F$76,-COUNTA($C$65:F$65),0))</f>
        <v>0.11779331290945073</v>
      </c>
      <c r="G78" s="445">
        <f ca="1">AVERAGE(OFFSET(G$74:G$76,-COUNTA($C$65:G$65),0))</f>
        <v>0.14993262930887633</v>
      </c>
      <c r="H78" s="445">
        <f ca="1">AVERAGE(OFFSET(H$74:H$76,-COUNTA($C$65:H$65),0))</f>
        <v>0.13655706701763778</v>
      </c>
      <c r="I78" s="445">
        <f ca="1">AVERAGE(OFFSET(I$74:I$76,-COUNTA($C$65:I$65),0))</f>
        <v>0.14188440712981562</v>
      </c>
      <c r="J78" s="445">
        <f ca="1">AVERAGE(OFFSET(J$74:J$76,-COUNTA($C$65:J$65),0))</f>
        <v>0.15930117251416762</v>
      </c>
      <c r="K78" s="445">
        <f ca="1">AVERAGE(OFFSET(K$74:K$76,-COUNTA($C$65:K$65),0))</f>
        <v>0.19587628865975151</v>
      </c>
      <c r="L78" s="445"/>
      <c r="M78" s="346"/>
    </row>
    <row r="79" spans="1:13">
      <c r="A79" s="49"/>
      <c r="B79" s="56"/>
      <c r="C79" s="346"/>
      <c r="D79" s="346"/>
      <c r="E79" s="346"/>
      <c r="F79" s="346"/>
      <c r="G79" s="346"/>
      <c r="H79" s="346"/>
      <c r="I79" s="346"/>
      <c r="J79" s="346"/>
      <c r="K79" s="346"/>
      <c r="L79" s="346"/>
      <c r="M79" s="346"/>
    </row>
    <row r="80" spans="1:13">
      <c r="A80" s="49"/>
      <c r="B80" s="56" t="s">
        <v>398</v>
      </c>
      <c r="C80" s="445">
        <f ca="1">1-C78</f>
        <v>0.88744241725253958</v>
      </c>
      <c r="D80" s="445">
        <f t="shared" ref="D80:K80" ca="1" si="20">1-D78</f>
        <v>0.89956140752640268</v>
      </c>
      <c r="E80" s="445">
        <f t="shared" ca="1" si="20"/>
        <v>0.87069323998476644</v>
      </c>
      <c r="F80" s="445">
        <f t="shared" ca="1" si="20"/>
        <v>0.88220668709054928</v>
      </c>
      <c r="G80" s="445">
        <f t="shared" ca="1" si="20"/>
        <v>0.8500673706911237</v>
      </c>
      <c r="H80" s="445">
        <f t="shared" ca="1" si="20"/>
        <v>0.86344293298236219</v>
      </c>
      <c r="I80" s="445">
        <f t="shared" ca="1" si="20"/>
        <v>0.85811559287018435</v>
      </c>
      <c r="J80" s="445">
        <f t="shared" ca="1" si="20"/>
        <v>0.84069882748583236</v>
      </c>
      <c r="K80" s="445">
        <f t="shared" ca="1" si="20"/>
        <v>0.80412371134024851</v>
      </c>
      <c r="L80" s="445"/>
      <c r="M80" s="346"/>
    </row>
    <row r="83" spans="1:12">
      <c r="A83" s="341" t="s">
        <v>403</v>
      </c>
      <c r="B83" s="341"/>
      <c r="C83" s="341"/>
      <c r="D83" s="341"/>
      <c r="E83" s="341"/>
      <c r="F83" s="341"/>
      <c r="G83" s="341"/>
      <c r="H83" s="341"/>
      <c r="I83" s="341"/>
      <c r="J83" s="341"/>
      <c r="K83" s="341"/>
      <c r="L83" s="341"/>
    </row>
    <row r="84" spans="1:12">
      <c r="A84" s="340"/>
      <c r="B84" s="340"/>
      <c r="C84" s="340"/>
      <c r="D84" s="340"/>
      <c r="E84" s="340"/>
      <c r="F84" s="340"/>
      <c r="G84" s="340"/>
      <c r="H84" s="340"/>
      <c r="I84" s="340"/>
      <c r="J84" s="340"/>
      <c r="K84" s="340"/>
      <c r="L84" s="340"/>
    </row>
    <row r="85" spans="1:12">
      <c r="A85" s="340"/>
      <c r="B85" s="252" t="s">
        <v>197</v>
      </c>
      <c r="C85" s="344" t="s">
        <v>294</v>
      </c>
      <c r="D85" s="348"/>
      <c r="E85" s="348"/>
      <c r="F85" s="348"/>
      <c r="G85" s="348"/>
      <c r="H85" s="348"/>
      <c r="I85" s="348"/>
      <c r="J85" s="348"/>
      <c r="K85" s="348"/>
    </row>
    <row r="86" spans="1:12">
      <c r="A86" s="340"/>
      <c r="B86" s="26" t="s">
        <v>8</v>
      </c>
      <c r="C86" s="77">
        <f>C$11</f>
        <v>288</v>
      </c>
      <c r="D86" s="77">
        <f>+C86+12</f>
        <v>300</v>
      </c>
      <c r="E86" s="77">
        <f>+D86+12</f>
        <v>312</v>
      </c>
      <c r="F86" s="77">
        <f>+E86+12</f>
        <v>324</v>
      </c>
      <c r="G86" s="77">
        <f>+F86+12</f>
        <v>336</v>
      </c>
      <c r="H86" s="77">
        <f t="shared" ref="H86:K86" si="21">+G86+12</f>
        <v>348</v>
      </c>
      <c r="I86" s="77">
        <f t="shared" si="21"/>
        <v>360</v>
      </c>
      <c r="J86" s="77">
        <f t="shared" si="21"/>
        <v>372</v>
      </c>
      <c r="K86" s="77">
        <f t="shared" si="21"/>
        <v>384</v>
      </c>
    </row>
    <row r="87" spans="1:12">
      <c r="A87" s="340"/>
      <c r="B87" s="252">
        <f t="shared" ref="B87:B89" si="22">B88-1</f>
        <v>1989</v>
      </c>
      <c r="C87" s="363"/>
      <c r="D87" s="363"/>
      <c r="E87" s="363"/>
      <c r="F87" s="363"/>
      <c r="G87" s="363"/>
      <c r="H87" s="363"/>
      <c r="I87" s="363"/>
      <c r="J87" s="363"/>
      <c r="K87" s="363"/>
    </row>
    <row r="88" spans="1:12">
      <c r="A88" s="340"/>
      <c r="B88" s="252">
        <f t="shared" si="22"/>
        <v>1990</v>
      </c>
      <c r="C88" s="363"/>
      <c r="D88" s="363"/>
      <c r="E88" s="363"/>
      <c r="F88" s="363"/>
      <c r="G88" s="363"/>
      <c r="H88" s="363"/>
      <c r="I88" s="363"/>
      <c r="J88" s="363"/>
      <c r="K88" s="446">
        <v>312</v>
      </c>
    </row>
    <row r="89" spans="1:12">
      <c r="A89" s="340"/>
      <c r="B89" s="252">
        <f t="shared" si="22"/>
        <v>1991</v>
      </c>
      <c r="C89" s="363"/>
      <c r="D89" s="363"/>
      <c r="E89" s="363"/>
      <c r="F89" s="363"/>
      <c r="G89" s="363"/>
      <c r="H89" s="363"/>
      <c r="I89" s="363"/>
      <c r="J89" s="446">
        <v>449.02925437648082</v>
      </c>
      <c r="K89" s="363">
        <v>449.02925437648082</v>
      </c>
    </row>
    <row r="90" spans="1:12">
      <c r="A90" s="340"/>
      <c r="B90" s="252">
        <f t="shared" ref="B90:B96" si="23">B91-1</f>
        <v>1992</v>
      </c>
      <c r="C90" s="363"/>
      <c r="D90" s="363"/>
      <c r="E90" s="363"/>
      <c r="F90" s="363"/>
      <c r="G90" s="363"/>
      <c r="H90" s="363"/>
      <c r="I90" s="446">
        <v>424.93403947772458</v>
      </c>
      <c r="J90" s="363">
        <v>424.93403947772458</v>
      </c>
      <c r="K90" s="363">
        <v>357.24154874774143</v>
      </c>
    </row>
    <row r="91" spans="1:12">
      <c r="A91" s="340"/>
      <c r="B91" s="252">
        <f t="shared" si="23"/>
        <v>1993</v>
      </c>
      <c r="C91" s="363"/>
      <c r="D91" s="363"/>
      <c r="E91" s="363"/>
      <c r="F91" s="363"/>
      <c r="G91" s="363"/>
      <c r="H91" s="446">
        <v>430.09625518220128</v>
      </c>
      <c r="I91" s="363">
        <v>430.09625518220128</v>
      </c>
      <c r="J91" s="363">
        <v>369.07230300692072</v>
      </c>
      <c r="K91" s="363">
        <v>310.2786523954141</v>
      </c>
    </row>
    <row r="92" spans="1:12">
      <c r="A92" s="340"/>
      <c r="B92" s="252">
        <f t="shared" si="23"/>
        <v>1994</v>
      </c>
      <c r="C92" s="363"/>
      <c r="D92" s="363"/>
      <c r="E92" s="363"/>
      <c r="F92" s="363"/>
      <c r="G92" s="446">
        <v>525.22281067367294</v>
      </c>
      <c r="H92" s="363">
        <v>525.22281067367294</v>
      </c>
      <c r="I92" s="363">
        <v>453.49992411731608</v>
      </c>
      <c r="J92" s="363">
        <v>389.15535625051433</v>
      </c>
      <c r="K92" s="363">
        <v>327.16245170963873</v>
      </c>
    </row>
    <row r="93" spans="1:12">
      <c r="A93" s="340"/>
      <c r="B93" s="252">
        <f t="shared" si="23"/>
        <v>1995</v>
      </c>
      <c r="C93" s="363"/>
      <c r="D93" s="363"/>
      <c r="E93" s="363"/>
      <c r="F93" s="446">
        <v>670.13805685816624</v>
      </c>
      <c r="G93" s="363">
        <v>670.13805685816624</v>
      </c>
      <c r="H93" s="363">
        <v>569.66249599348009</v>
      </c>
      <c r="I93" s="363">
        <v>491.87105635066365</v>
      </c>
      <c r="J93" s="363">
        <v>422.08222313603358</v>
      </c>
      <c r="K93" s="363">
        <v>354.84403009307687</v>
      </c>
    </row>
    <row r="94" spans="1:12">
      <c r="A94" s="340"/>
      <c r="B94" s="252">
        <f t="shared" si="23"/>
        <v>1996</v>
      </c>
      <c r="C94" s="363"/>
      <c r="D94" s="363"/>
      <c r="E94" s="446">
        <v>749.10232800021186</v>
      </c>
      <c r="F94" s="363">
        <v>749.10232800021186</v>
      </c>
      <c r="G94" s="363">
        <v>660.86308307688489</v>
      </c>
      <c r="H94" s="363">
        <v>561.77814341799717</v>
      </c>
      <c r="I94" s="363">
        <v>485.06336783822161</v>
      </c>
      <c r="J94" s="363">
        <v>416.24043947210384</v>
      </c>
      <c r="K94" s="363">
        <v>349.93284941638524</v>
      </c>
    </row>
    <row r="95" spans="1:12">
      <c r="A95" s="340"/>
      <c r="B95" s="252">
        <f t="shared" si="23"/>
        <v>1997</v>
      </c>
      <c r="C95" s="363"/>
      <c r="D95" s="446">
        <v>979.27522657111695</v>
      </c>
      <c r="E95" s="363">
        <v>979.27522657111695</v>
      </c>
      <c r="F95" s="363">
        <v>852.64831986002207</v>
      </c>
      <c r="G95" s="363">
        <v>752.21204951703305</v>
      </c>
      <c r="H95" s="363">
        <v>639.43091913512558</v>
      </c>
      <c r="I95" s="363">
        <v>552.11210825764056</v>
      </c>
      <c r="J95" s="363">
        <v>473.77600910831262</v>
      </c>
      <c r="K95" s="363">
        <v>398.30293534827541</v>
      </c>
    </row>
    <row r="96" spans="1:12">
      <c r="A96" s="340"/>
      <c r="B96" s="252">
        <f t="shared" si="23"/>
        <v>1998</v>
      </c>
      <c r="C96" s="446">
        <v>1256.4577120786125</v>
      </c>
      <c r="D96" s="363">
        <v>1256.4577120786125</v>
      </c>
      <c r="E96" s="363">
        <v>1130.2608679748403</v>
      </c>
      <c r="F96" s="363">
        <v>984.11049716500793</v>
      </c>
      <c r="G96" s="363">
        <v>868.18886143497514</v>
      </c>
      <c r="H96" s="363">
        <v>738.01902270334961</v>
      </c>
      <c r="I96" s="363">
        <v>637.2373095597568</v>
      </c>
      <c r="J96" s="363">
        <v>546.82327169187181</v>
      </c>
      <c r="K96" s="363">
        <v>459.7136833533234</v>
      </c>
    </row>
    <row r="97" spans="1:13">
      <c r="A97" s="340"/>
      <c r="B97" s="252">
        <v>1999</v>
      </c>
      <c r="C97" s="363">
        <v>1365.9633747738553</v>
      </c>
      <c r="D97" s="363">
        <v>1212.2138391877468</v>
      </c>
      <c r="E97" s="363">
        <v>1090.4607874027138</v>
      </c>
      <c r="F97" s="363">
        <v>949.45683606000853</v>
      </c>
      <c r="G97" s="363">
        <v>837.61716987597504</v>
      </c>
      <c r="H97" s="363">
        <v>712.03102524221026</v>
      </c>
      <c r="I97" s="363">
        <v>614.79815680957245</v>
      </c>
      <c r="J97" s="363">
        <v>527.56788482614286</v>
      </c>
      <c r="K97" s="363">
        <v>443.52570219251891</v>
      </c>
    </row>
    <row r="98" spans="1:13">
      <c r="A98" s="352"/>
      <c r="B98" s="252" t="s">
        <v>404</v>
      </c>
      <c r="C98" s="363"/>
      <c r="D98" s="363"/>
      <c r="E98" s="363"/>
      <c r="F98" s="363"/>
      <c r="G98" s="363"/>
      <c r="H98" s="363"/>
      <c r="I98" s="363"/>
      <c r="J98" s="363"/>
      <c r="K98" s="363"/>
    </row>
    <row r="99" spans="1:13">
      <c r="A99" s="352"/>
      <c r="B99" s="252">
        <f>B100-1</f>
        <v>2020</v>
      </c>
      <c r="C99" s="363">
        <v>464.60698604444633</v>
      </c>
      <c r="D99" s="363">
        <v>412.31194676770025</v>
      </c>
      <c r="E99" s="363">
        <v>370.89991517430383</v>
      </c>
      <c r="F99" s="363">
        <v>322.94004885318964</v>
      </c>
      <c r="G99" s="363">
        <v>284.89987062763259</v>
      </c>
      <c r="H99" s="363">
        <v>242.18408393467283</v>
      </c>
      <c r="I99" s="363">
        <v>209.11213575420058</v>
      </c>
      <c r="J99" s="363">
        <v>179.44238434906626</v>
      </c>
      <c r="K99" s="363">
        <v>150.85700212352214</v>
      </c>
    </row>
    <row r="100" spans="1:13">
      <c r="B100" s="252">
        <f>'Exhibits 2.5.3 - 2.5.8'!$C$21</f>
        <v>2021</v>
      </c>
      <c r="C100" s="363">
        <v>492.26909082624337</v>
      </c>
      <c r="D100" s="363">
        <v>436.86047190155125</v>
      </c>
      <c r="E100" s="363">
        <v>392.98282099640812</v>
      </c>
      <c r="F100" s="363">
        <v>342.16748567171607</v>
      </c>
      <c r="G100" s="363">
        <v>301.86244396454759</v>
      </c>
      <c r="H100" s="363">
        <v>256.60341405133954</v>
      </c>
      <c r="I100" s="363">
        <v>221.56240444177621</v>
      </c>
      <c r="J100" s="363">
        <v>190.12615404529831</v>
      </c>
      <c r="K100" s="363">
        <v>159.83883478027306</v>
      </c>
    </row>
    <row r="101" spans="1:13">
      <c r="B101" s="252"/>
      <c r="C101" s="267"/>
      <c r="D101" s="267"/>
      <c r="E101" s="267"/>
      <c r="F101" s="267"/>
      <c r="G101" s="267"/>
      <c r="H101" s="267"/>
      <c r="I101" s="267"/>
      <c r="J101" s="267"/>
      <c r="K101" s="267"/>
      <c r="L101" s="267"/>
    </row>
    <row r="102" spans="1:13">
      <c r="B102" s="252"/>
      <c r="C102" s="267"/>
      <c r="D102" s="267"/>
      <c r="E102" s="267"/>
      <c r="F102" s="267"/>
      <c r="G102" s="267"/>
      <c r="H102" s="267"/>
      <c r="I102" s="267"/>
      <c r="J102" s="267"/>
      <c r="K102" s="267"/>
      <c r="L102" s="267"/>
    </row>
    <row r="103" spans="1:13">
      <c r="B103" s="252"/>
      <c r="C103" s="267"/>
      <c r="D103" s="267"/>
      <c r="E103" s="267"/>
      <c r="F103" s="267"/>
      <c r="G103" s="267"/>
      <c r="H103" s="267"/>
      <c r="I103" s="267"/>
      <c r="J103" s="267"/>
      <c r="K103" s="267"/>
      <c r="L103" s="267"/>
    </row>
    <row r="104" spans="1:13">
      <c r="A104" s="349" t="s">
        <v>38</v>
      </c>
      <c r="B104" s="347" t="s">
        <v>400</v>
      </c>
    </row>
    <row r="105" spans="1:13">
      <c r="B105" s="347" t="s">
        <v>401</v>
      </c>
    </row>
    <row r="106" spans="1:13">
      <c r="A106" s="349" t="s">
        <v>57</v>
      </c>
      <c r="B106" s="347" t="s">
        <v>399</v>
      </c>
    </row>
    <row r="107" spans="1:13">
      <c r="A107" s="349" t="s">
        <v>41</v>
      </c>
      <c r="B107" s="347" t="s">
        <v>425</v>
      </c>
    </row>
    <row r="108" spans="1:13">
      <c r="A108" s="349"/>
      <c r="B108" s="347" t="s">
        <v>426</v>
      </c>
    </row>
    <row r="109" spans="1:13">
      <c r="A109" s="349"/>
      <c r="B109" s="347" t="s">
        <v>427</v>
      </c>
    </row>
    <row r="111" spans="1:13">
      <c r="B111" s="347" t="s">
        <v>272</v>
      </c>
    </row>
    <row r="112" spans="1:13">
      <c r="A112" s="347"/>
      <c r="B112" s="347"/>
      <c r="C112" s="347"/>
      <c r="D112" s="347"/>
      <c r="E112" s="347"/>
      <c r="F112" s="347"/>
      <c r="G112" s="347"/>
      <c r="H112" s="347"/>
      <c r="I112" s="347"/>
      <c r="J112" s="347"/>
      <c r="K112" s="347"/>
      <c r="L112" s="347"/>
      <c r="M112" s="143" t="s">
        <v>387</v>
      </c>
    </row>
    <row r="113" spans="1:13">
      <c r="A113" s="245" t="str">
        <f>A2</f>
        <v>Paid Loss Development Factors</v>
      </c>
      <c r="B113" s="245"/>
      <c r="C113" s="245"/>
      <c r="D113" s="245"/>
      <c r="E113" s="245"/>
      <c r="F113" s="245"/>
      <c r="G113" s="245"/>
      <c r="H113" s="245"/>
      <c r="I113" s="245"/>
      <c r="J113" s="245"/>
      <c r="K113" s="245"/>
      <c r="L113" s="245"/>
      <c r="M113" s="245"/>
    </row>
    <row r="114" spans="1:13">
      <c r="A114" s="245" t="str">
        <f>A3</f>
        <v>Adjusted for the Impact of Claim Settlement Rate</v>
      </c>
      <c r="B114" s="245"/>
      <c r="C114" s="245"/>
      <c r="D114" s="245"/>
      <c r="E114" s="245"/>
      <c r="F114" s="245"/>
      <c r="G114" s="245"/>
      <c r="H114" s="245"/>
      <c r="I114" s="245"/>
      <c r="J114" s="245"/>
      <c r="K114" s="245"/>
      <c r="L114" s="245"/>
      <c r="M114" s="245"/>
    </row>
    <row r="115" spans="1:13">
      <c r="A115" s="245" t="str">
        <f>A4</f>
        <v>Changes on Later Period Development</v>
      </c>
      <c r="B115" s="245"/>
      <c r="C115" s="245"/>
      <c r="D115" s="245"/>
      <c r="E115" s="245"/>
      <c r="F115" s="245"/>
      <c r="G115" s="245"/>
      <c r="H115" s="245"/>
      <c r="I115" s="245"/>
      <c r="J115" s="245"/>
      <c r="K115" s="245"/>
      <c r="L115" s="245"/>
      <c r="M115" s="245"/>
    </row>
    <row r="116" spans="1:13">
      <c r="A116" s="245"/>
      <c r="B116" s="245"/>
      <c r="C116" s="245"/>
      <c r="D116" s="245"/>
      <c r="E116" s="245"/>
      <c r="F116" s="245"/>
      <c r="G116" s="245"/>
      <c r="H116" s="245"/>
      <c r="I116" s="245"/>
      <c r="J116" s="245"/>
      <c r="K116" s="245"/>
      <c r="L116" s="245"/>
      <c r="M116" s="245"/>
    </row>
    <row r="117" spans="1:13">
      <c r="A117" s="245"/>
      <c r="B117" s="245"/>
      <c r="C117" s="245"/>
      <c r="D117" s="245"/>
      <c r="E117" s="245"/>
      <c r="F117" s="245"/>
      <c r="G117" s="245"/>
      <c r="H117" s="245"/>
      <c r="I117" s="245"/>
      <c r="J117" s="245"/>
      <c r="K117" s="245"/>
      <c r="L117" s="245"/>
      <c r="M117" s="245"/>
    </row>
    <row r="118" spans="1:13">
      <c r="A118" s="347"/>
      <c r="B118" s="347"/>
      <c r="C118" s="347"/>
      <c r="D118" s="347"/>
      <c r="E118" s="347"/>
      <c r="F118" s="347"/>
      <c r="G118" s="347"/>
      <c r="H118" s="347"/>
      <c r="I118" s="347"/>
      <c r="J118" s="347"/>
      <c r="K118" s="347"/>
      <c r="L118" s="347"/>
      <c r="M118" s="347"/>
    </row>
    <row r="119" spans="1:13">
      <c r="A119" s="341" t="s">
        <v>408</v>
      </c>
      <c r="B119" s="341"/>
      <c r="C119" s="341"/>
      <c r="D119" s="341"/>
      <c r="E119" s="341"/>
      <c r="F119" s="341"/>
      <c r="G119" s="341"/>
      <c r="H119" s="341"/>
      <c r="I119" s="341"/>
      <c r="J119" s="341"/>
      <c r="K119" s="341"/>
      <c r="L119" s="341"/>
      <c r="M119" s="347"/>
    </row>
    <row r="120" spans="1:13">
      <c r="A120" s="340"/>
      <c r="B120" s="340"/>
      <c r="C120" s="340"/>
      <c r="D120" s="340"/>
      <c r="E120" s="340"/>
      <c r="F120" s="340"/>
      <c r="G120" s="340"/>
      <c r="H120" s="340"/>
      <c r="I120" s="340"/>
      <c r="J120" s="340"/>
      <c r="K120" s="340"/>
      <c r="L120" s="340"/>
      <c r="M120" s="347"/>
    </row>
    <row r="121" spans="1:13">
      <c r="A121" s="340"/>
      <c r="B121" s="252" t="s">
        <v>197</v>
      </c>
      <c r="C121" s="344" t="s">
        <v>294</v>
      </c>
      <c r="D121" s="348"/>
      <c r="E121" s="348"/>
      <c r="F121" s="348"/>
      <c r="G121" s="348"/>
      <c r="H121" s="348"/>
      <c r="I121" s="348"/>
      <c r="J121" s="348"/>
      <c r="K121" s="348"/>
      <c r="M121" s="347"/>
    </row>
    <row r="122" spans="1:13">
      <c r="A122" s="340"/>
      <c r="B122" s="26" t="s">
        <v>8</v>
      </c>
      <c r="C122" s="77">
        <f>C$11</f>
        <v>288</v>
      </c>
      <c r="D122" s="77">
        <f>+C122+12</f>
        <v>300</v>
      </c>
      <c r="E122" s="77">
        <f>+D122+12</f>
        <v>312</v>
      </c>
      <c r="F122" s="77">
        <f>+E122+12</f>
        <v>324</v>
      </c>
      <c r="G122" s="77">
        <f>+F122+12</f>
        <v>336</v>
      </c>
      <c r="H122" s="77">
        <f t="shared" ref="H122:K122" si="24">+G122+12</f>
        <v>348</v>
      </c>
      <c r="I122" s="77">
        <f t="shared" si="24"/>
        <v>360</v>
      </c>
      <c r="J122" s="77">
        <f t="shared" si="24"/>
        <v>372</v>
      </c>
      <c r="K122" s="77">
        <f t="shared" si="24"/>
        <v>384</v>
      </c>
      <c r="M122" s="347"/>
    </row>
    <row r="123" spans="1:13">
      <c r="A123" s="340"/>
      <c r="B123" s="252">
        <f t="shared" ref="B123:B125" si="25">B124-1</f>
        <v>1990</v>
      </c>
      <c r="C123" s="363"/>
      <c r="D123" s="363"/>
      <c r="E123" s="363"/>
      <c r="F123" s="363"/>
      <c r="G123" s="363"/>
      <c r="H123" s="363"/>
      <c r="I123" s="363"/>
      <c r="J123" s="450">
        <v>2.014159628633664E-3</v>
      </c>
      <c r="K123" s="450">
        <v>1.6770256135405595E-3</v>
      </c>
      <c r="M123" s="347"/>
    </row>
    <row r="124" spans="1:13">
      <c r="A124" s="340"/>
      <c r="B124" s="252">
        <f t="shared" si="25"/>
        <v>1991</v>
      </c>
      <c r="C124" s="363"/>
      <c r="D124" s="363"/>
      <c r="E124" s="363"/>
      <c r="F124" s="363"/>
      <c r="G124" s="363"/>
      <c r="H124" s="363"/>
      <c r="I124" s="450">
        <v>2.6044047592172262E-3</v>
      </c>
      <c r="J124" s="450">
        <v>2.2810257911853975E-3</v>
      </c>
      <c r="K124" s="450">
        <v>1.9360882252849054E-3</v>
      </c>
      <c r="M124" s="347"/>
    </row>
    <row r="125" spans="1:13">
      <c r="A125" s="340"/>
      <c r="B125" s="252">
        <f t="shared" si="25"/>
        <v>1992</v>
      </c>
      <c r="C125" s="363"/>
      <c r="D125" s="363"/>
      <c r="E125" s="363"/>
      <c r="F125" s="363"/>
      <c r="G125" s="363"/>
      <c r="H125" s="450">
        <v>3.1460494615141625E-3</v>
      </c>
      <c r="I125" s="450">
        <v>2.7465921413332935E-3</v>
      </c>
      <c r="J125" s="450">
        <v>2.3252467488137467E-3</v>
      </c>
      <c r="K125" s="444">
        <v>1.9548322153429601E-3</v>
      </c>
      <c r="M125" s="347"/>
    </row>
    <row r="126" spans="1:13">
      <c r="A126" s="340"/>
      <c r="B126" s="252">
        <f t="shared" ref="B126:B131" si="26">B127-1</f>
        <v>1993</v>
      </c>
      <c r="C126" s="363"/>
      <c r="D126" s="363"/>
      <c r="E126" s="363"/>
      <c r="F126" s="363"/>
      <c r="G126" s="450">
        <v>4.1669866711898781E-3</v>
      </c>
      <c r="H126" s="450">
        <v>3.5179627373479122E-3</v>
      </c>
      <c r="I126" s="450">
        <v>3.0015350910650575E-3</v>
      </c>
      <c r="J126" s="444">
        <v>2.5756640641899542E-3</v>
      </c>
      <c r="K126" s="444">
        <v>2.1653577587618881E-3</v>
      </c>
      <c r="M126" s="347"/>
    </row>
    <row r="127" spans="1:13">
      <c r="A127" s="340"/>
      <c r="B127" s="252">
        <f t="shared" si="26"/>
        <v>1994</v>
      </c>
      <c r="C127" s="363"/>
      <c r="D127" s="363"/>
      <c r="E127" s="363"/>
      <c r="F127" s="450">
        <v>5.5255849394773319E-3</v>
      </c>
      <c r="G127" s="450">
        <v>4.8446634117361156E-3</v>
      </c>
      <c r="H127" s="450">
        <v>4.018376614027562E-3</v>
      </c>
      <c r="I127" s="444">
        <v>3.4696388894436916E-3</v>
      </c>
      <c r="J127" s="444">
        <v>2.9773512326604218E-3</v>
      </c>
      <c r="K127" s="444">
        <v>2.503055690311114E-3</v>
      </c>
      <c r="M127" s="347"/>
    </row>
    <row r="128" spans="1:13">
      <c r="A128" s="340"/>
      <c r="B128" s="252">
        <f t="shared" si="26"/>
        <v>1995</v>
      </c>
      <c r="C128" s="363"/>
      <c r="D128" s="363"/>
      <c r="E128" s="450">
        <v>7.2490513277747989E-3</v>
      </c>
      <c r="F128" s="450">
        <v>6.2382874157270096E-3</v>
      </c>
      <c r="G128" s="450">
        <v>5.5069216582288106E-3</v>
      </c>
      <c r="H128" s="444">
        <v>4.6812544146125675E-3</v>
      </c>
      <c r="I128" s="444">
        <v>4.0419960417897071E-3</v>
      </c>
      <c r="J128" s="444">
        <v>3.4684998297793124E-3</v>
      </c>
      <c r="K128" s="444">
        <v>2.9159637400302768E-3</v>
      </c>
      <c r="M128" s="347"/>
    </row>
    <row r="129" spans="1:13">
      <c r="A129" s="340"/>
      <c r="B129" s="252">
        <f t="shared" si="26"/>
        <v>1996</v>
      </c>
      <c r="C129" s="363"/>
      <c r="D129" s="450">
        <v>8.3766760519658028E-3</v>
      </c>
      <c r="E129" s="450">
        <v>7.5686682117847475E-3</v>
      </c>
      <c r="F129" s="450">
        <v>6.4512105604706957E-3</v>
      </c>
      <c r="G129" s="444">
        <v>5.6913010962764184E-3</v>
      </c>
      <c r="H129" s="444">
        <v>4.8379893587232048E-3</v>
      </c>
      <c r="I129" s="444">
        <v>4.1773277216334212E-3</v>
      </c>
      <c r="J129" s="444">
        <v>3.5846300544625197E-3</v>
      </c>
      <c r="K129" s="444">
        <v>3.0135942837571155E-3</v>
      </c>
      <c r="M129" s="347"/>
    </row>
    <row r="130" spans="1:13">
      <c r="A130" s="340"/>
      <c r="B130" s="252">
        <f t="shared" si="26"/>
        <v>1997</v>
      </c>
      <c r="C130" s="450">
        <v>1.019484667640679E-2</v>
      </c>
      <c r="D130" s="450">
        <v>8.8358725359111087E-3</v>
      </c>
      <c r="E130" s="450">
        <v>7.9895652867401894E-3</v>
      </c>
      <c r="F130" s="444">
        <v>6.9564604855816359E-3</v>
      </c>
      <c r="G130" s="444">
        <v>6.1370359588612889E-3</v>
      </c>
      <c r="H130" s="444">
        <v>5.216894021386094E-3</v>
      </c>
      <c r="I130" s="444">
        <v>4.5044902748837597E-3</v>
      </c>
      <c r="J130" s="444">
        <v>3.8653733428098574E-3</v>
      </c>
      <c r="K130" s="444">
        <v>3.2496148370952391E-3</v>
      </c>
      <c r="M130" s="347"/>
    </row>
    <row r="131" spans="1:13">
      <c r="A131" s="340"/>
      <c r="B131" s="252">
        <f t="shared" si="26"/>
        <v>1998</v>
      </c>
      <c r="C131" s="450">
        <v>1.041255521078586E-2</v>
      </c>
      <c r="D131" s="450">
        <v>9.4430419513907866E-3</v>
      </c>
      <c r="E131" s="444">
        <v>8.4945961091239634E-3</v>
      </c>
      <c r="F131" s="444">
        <v>7.3961874086151342E-3</v>
      </c>
      <c r="G131" s="444">
        <v>6.5249659908551928E-3</v>
      </c>
      <c r="H131" s="444">
        <v>5.5466606836952767E-3</v>
      </c>
      <c r="I131" s="444">
        <v>4.789224968987804E-3</v>
      </c>
      <c r="J131" s="444">
        <v>4.1097086236516591E-3</v>
      </c>
      <c r="K131" s="444">
        <v>3.4550272212123642E-3</v>
      </c>
      <c r="M131" s="347"/>
    </row>
    <row r="132" spans="1:13">
      <c r="A132" s="340"/>
      <c r="B132" s="252">
        <f>$B$21</f>
        <v>1999</v>
      </c>
      <c r="C132" s="450">
        <v>1.0130631852342031E-2</v>
      </c>
      <c r="D132" s="444">
        <v>8.9903524193379845E-3</v>
      </c>
      <c r="E132" s="444">
        <v>8.0873740764980766E-3</v>
      </c>
      <c r="F132" s="444">
        <v>7.0416219376349199E-3</v>
      </c>
      <c r="G132" s="444">
        <v>6.2121659613450378E-3</v>
      </c>
      <c r="H132" s="444">
        <v>5.2807595850574724E-3</v>
      </c>
      <c r="I132" s="444">
        <v>4.5596345444967462E-3</v>
      </c>
      <c r="J132" s="444">
        <v>3.9126935004221985E-3</v>
      </c>
      <c r="K132" s="444">
        <v>3.2893968381163792E-3</v>
      </c>
      <c r="M132" s="347"/>
    </row>
    <row r="133" spans="1:13">
      <c r="A133" s="340"/>
      <c r="B133" s="252">
        <f>$B$22</f>
        <v>2000</v>
      </c>
      <c r="C133" s="444">
        <v>1.0029079238447279E-2</v>
      </c>
      <c r="D133" s="444">
        <v>8.900230322184911E-3</v>
      </c>
      <c r="E133" s="444">
        <v>8.0063037159338272E-3</v>
      </c>
      <c r="F133" s="444">
        <v>6.9710345227284977E-3</v>
      </c>
      <c r="G133" s="444">
        <v>6.1498932718901571E-3</v>
      </c>
      <c r="H133" s="444">
        <v>5.2278236036666977E-3</v>
      </c>
      <c r="I133" s="444">
        <v>4.5139273454643958E-3</v>
      </c>
      <c r="J133" s="444">
        <v>3.873471440226118E-3</v>
      </c>
      <c r="K133" s="444">
        <v>3.2564228980979555E-3</v>
      </c>
      <c r="M133" s="347"/>
    </row>
    <row r="134" spans="1:13">
      <c r="A134" s="352"/>
      <c r="B134" s="252" t="s">
        <v>404</v>
      </c>
      <c r="C134" s="444"/>
      <c r="D134" s="444"/>
      <c r="E134" s="444"/>
      <c r="F134" s="444"/>
      <c r="G134" s="444"/>
      <c r="H134" s="444"/>
      <c r="I134" s="444"/>
      <c r="J134" s="444"/>
      <c r="K134" s="444"/>
      <c r="M134" s="347"/>
    </row>
    <row r="135" spans="1:13">
      <c r="A135" s="352"/>
      <c r="B135" s="252">
        <f>B136-1</f>
        <v>2020</v>
      </c>
      <c r="C135" s="444">
        <v>3.4160839212253888E-3</v>
      </c>
      <c r="D135" s="444">
        <v>3.0315777725897922E-3</v>
      </c>
      <c r="E135" s="444">
        <v>2.7270903681366311E-3</v>
      </c>
      <c r="F135" s="444">
        <v>2.3744591483641328E-3</v>
      </c>
      <c r="G135" s="444">
        <v>2.0947637389101691E-3</v>
      </c>
      <c r="H135" s="444">
        <v>1.780690303754474E-3</v>
      </c>
      <c r="I135" s="444">
        <v>1.5375244586070171E-3</v>
      </c>
      <c r="J135" s="444">
        <v>1.3193737123499694E-3</v>
      </c>
      <c r="K135" s="444">
        <v>1.1091959329882495E-3</v>
      </c>
      <c r="M135" s="347"/>
    </row>
    <row r="136" spans="1:13">
      <c r="A136" s="340"/>
      <c r="B136" s="252">
        <f>$B$100</f>
        <v>2021</v>
      </c>
      <c r="C136" s="444">
        <v>3.2819095725429952E-3</v>
      </c>
      <c r="D136" s="444">
        <v>2.9125057642618037E-3</v>
      </c>
      <c r="E136" s="444">
        <v>2.6199777847281105E-3</v>
      </c>
      <c r="F136" s="444">
        <v>2.2811969460730295E-3</v>
      </c>
      <c r="G136" s="444">
        <v>2.0124872003961657E-3</v>
      </c>
      <c r="H136" s="444">
        <v>1.7107497029903085E-3</v>
      </c>
      <c r="I136" s="444">
        <v>1.4771347411486576E-3</v>
      </c>
      <c r="J136" s="444">
        <v>1.2675523541499263E-3</v>
      </c>
      <c r="K136" s="444">
        <v>1.0656297779107497E-3</v>
      </c>
      <c r="M136" s="347"/>
    </row>
    <row r="137" spans="1:13">
      <c r="B137" s="56"/>
      <c r="C137" s="77"/>
      <c r="D137" s="77"/>
      <c r="E137" s="77"/>
      <c r="F137" s="77"/>
      <c r="G137" s="77"/>
      <c r="H137" s="77"/>
      <c r="I137" s="77"/>
      <c r="J137" s="77"/>
      <c r="K137" s="77"/>
    </row>
    <row r="138" spans="1:13">
      <c r="B138" s="56" t="s">
        <v>388</v>
      </c>
      <c r="C138" s="447">
        <f>AVERAGE(C130:C132)</f>
        <v>1.024601124651156E-2</v>
      </c>
      <c r="D138" s="447">
        <f>AVERAGE(D129:D131)</f>
        <v>8.8851968464225672E-3</v>
      </c>
      <c r="E138" s="447">
        <f>AVERAGE(E128:E130)</f>
        <v>7.6024282754332444E-3</v>
      </c>
      <c r="F138" s="447">
        <f>AVERAGE(F127:F129)</f>
        <v>6.0716943052250118E-3</v>
      </c>
      <c r="G138" s="447">
        <f>AVERAGE(G126:G128)</f>
        <v>4.8395239137182687E-3</v>
      </c>
      <c r="H138" s="447">
        <f>AVERAGE(H125:H127)</f>
        <v>3.5607962709632121E-3</v>
      </c>
      <c r="I138" s="447">
        <f>AVERAGE(I124:I126)</f>
        <v>2.7841773305385259E-3</v>
      </c>
      <c r="J138" s="447">
        <f>AVERAGE(J123:J125)</f>
        <v>2.2068107228776029E-3</v>
      </c>
      <c r="K138" s="447">
        <f>AVERAGE(K123:K124)</f>
        <v>1.8065569194127325E-3</v>
      </c>
    </row>
    <row r="141" spans="1:13">
      <c r="A141" s="343" t="s">
        <v>409</v>
      </c>
      <c r="B141" s="343"/>
      <c r="C141" s="343"/>
      <c r="D141" s="343"/>
      <c r="E141" s="343"/>
      <c r="F141" s="343"/>
      <c r="G141" s="343"/>
      <c r="H141" s="343"/>
      <c r="I141" s="343"/>
      <c r="J141" s="343"/>
      <c r="K141" s="343"/>
      <c r="L141" s="343"/>
    </row>
    <row r="142" spans="1:13">
      <c r="A142" s="342"/>
      <c r="B142" s="342"/>
      <c r="C142" s="342"/>
      <c r="D142" s="342"/>
      <c r="E142" s="342"/>
      <c r="F142" s="342"/>
      <c r="G142" s="342"/>
      <c r="H142" s="342"/>
      <c r="I142" s="342"/>
      <c r="J142" s="342"/>
      <c r="K142" s="342"/>
      <c r="L142" s="342"/>
    </row>
    <row r="143" spans="1:13">
      <c r="A143" s="342"/>
      <c r="B143" s="252" t="s">
        <v>197</v>
      </c>
      <c r="C143" s="344" t="s">
        <v>294</v>
      </c>
      <c r="D143" s="348"/>
      <c r="E143" s="348"/>
      <c r="F143" s="348"/>
      <c r="G143" s="348"/>
      <c r="H143" s="348"/>
      <c r="I143" s="348"/>
      <c r="J143" s="348"/>
      <c r="K143" s="348"/>
    </row>
    <row r="144" spans="1:13">
      <c r="A144" s="342"/>
      <c r="B144" s="26" t="s">
        <v>8</v>
      </c>
      <c r="C144" s="77">
        <f>C$11</f>
        <v>288</v>
      </c>
      <c r="D144" s="77">
        <f>+C144+12</f>
        <v>300</v>
      </c>
      <c r="E144" s="77">
        <f>+D144+12</f>
        <v>312</v>
      </c>
      <c r="F144" s="77">
        <f>+E144+12</f>
        <v>324</v>
      </c>
      <c r="G144" s="77">
        <f>+F144+12</f>
        <v>336</v>
      </c>
      <c r="H144" s="77">
        <f t="shared" ref="H144" si="27">+G144+12</f>
        <v>348</v>
      </c>
      <c r="I144" s="77">
        <f t="shared" ref="I144" si="28">+H144+12</f>
        <v>360</v>
      </c>
      <c r="J144" s="77">
        <f t="shared" ref="J144" si="29">+I144+12</f>
        <v>372</v>
      </c>
      <c r="K144" s="77">
        <f t="shared" ref="K144" si="30">+J144+12</f>
        <v>384</v>
      </c>
    </row>
    <row r="145" spans="1:11">
      <c r="A145" s="342"/>
      <c r="B145" s="252">
        <f t="shared" ref="B145:B153" si="31">B146-1</f>
        <v>1990</v>
      </c>
      <c r="C145" s="350"/>
      <c r="D145" s="350"/>
      <c r="E145" s="350"/>
      <c r="F145" s="350"/>
      <c r="G145" s="350"/>
      <c r="H145" s="350"/>
      <c r="I145" s="350"/>
      <c r="J145" s="350"/>
      <c r="K145" s="350"/>
    </row>
    <row r="146" spans="1:11">
      <c r="A146" s="342"/>
      <c r="B146" s="252">
        <f t="shared" si="31"/>
        <v>1991</v>
      </c>
      <c r="C146" s="350"/>
      <c r="D146" s="350"/>
      <c r="E146" s="350"/>
      <c r="F146" s="350"/>
      <c r="G146" s="350"/>
      <c r="H146" s="350"/>
      <c r="I146" s="350"/>
      <c r="J146" s="350"/>
      <c r="K146" s="350"/>
    </row>
    <row r="147" spans="1:11">
      <c r="A147" s="342"/>
      <c r="B147" s="252">
        <f t="shared" si="31"/>
        <v>1992</v>
      </c>
      <c r="C147" s="350"/>
      <c r="D147" s="350"/>
      <c r="E147" s="350"/>
      <c r="F147" s="350"/>
      <c r="G147" s="350"/>
      <c r="H147" s="350"/>
      <c r="I147" s="350"/>
      <c r="J147" s="350"/>
      <c r="K147" s="448">
        <f t="shared" ref="D147:K155" si="32">K125/K$138</f>
        <v>1.0820761827855545</v>
      </c>
    </row>
    <row r="148" spans="1:11">
      <c r="A148" s="342"/>
      <c r="B148" s="252">
        <f t="shared" si="31"/>
        <v>1993</v>
      </c>
      <c r="C148" s="350"/>
      <c r="D148" s="350"/>
      <c r="E148" s="350"/>
      <c r="F148" s="350"/>
      <c r="G148" s="350"/>
      <c r="H148" s="350"/>
      <c r="I148" s="350"/>
      <c r="J148" s="448">
        <f t="shared" si="32"/>
        <v>1.1671431706799846</v>
      </c>
      <c r="K148" s="448">
        <f t="shared" si="32"/>
        <v>1.198610315287377</v>
      </c>
    </row>
    <row r="149" spans="1:11">
      <c r="A149" s="342"/>
      <c r="B149" s="252">
        <f t="shared" si="31"/>
        <v>1994</v>
      </c>
      <c r="C149" s="350"/>
      <c r="D149" s="350"/>
      <c r="E149" s="350"/>
      <c r="F149" s="350"/>
      <c r="G149" s="350"/>
      <c r="H149" s="350"/>
      <c r="I149" s="448">
        <f t="shared" si="32"/>
        <v>1.2461989584451436</v>
      </c>
      <c r="J149" s="448">
        <f t="shared" si="32"/>
        <v>1.3491647479300179</v>
      </c>
      <c r="K149" s="448">
        <f t="shared" si="32"/>
        <v>1.3855393447136977</v>
      </c>
    </row>
    <row r="150" spans="1:11">
      <c r="A150" s="342"/>
      <c r="B150" s="252">
        <f t="shared" si="31"/>
        <v>1995</v>
      </c>
      <c r="C150" s="350"/>
      <c r="D150" s="350"/>
      <c r="E150" s="350"/>
      <c r="F150" s="350"/>
      <c r="G150" s="350"/>
      <c r="H150" s="448">
        <f t="shared" si="32"/>
        <v>1.3146650519677909</v>
      </c>
      <c r="I150" s="448">
        <f t="shared" si="32"/>
        <v>1.451773921673261</v>
      </c>
      <c r="J150" s="448">
        <f t="shared" si="32"/>
        <v>1.5717251116382613</v>
      </c>
      <c r="K150" s="448">
        <f t="shared" si="32"/>
        <v>1.6141001197892979</v>
      </c>
    </row>
    <row r="151" spans="1:11">
      <c r="A151" s="342"/>
      <c r="B151" s="252">
        <f t="shared" si="31"/>
        <v>1996</v>
      </c>
      <c r="C151" s="350"/>
      <c r="D151" s="350"/>
      <c r="E151" s="350"/>
      <c r="F151" s="350"/>
      <c r="G151" s="448">
        <f t="shared" si="32"/>
        <v>1.1760043338444253</v>
      </c>
      <c r="H151" s="448">
        <f t="shared" si="32"/>
        <v>1.3586818763474233</v>
      </c>
      <c r="I151" s="448">
        <f t="shared" si="32"/>
        <v>1.5003813427449417</v>
      </c>
      <c r="J151" s="448">
        <f t="shared" si="32"/>
        <v>1.6243486662908224</v>
      </c>
      <c r="K151" s="448">
        <f t="shared" si="32"/>
        <v>1.6681424489723586</v>
      </c>
    </row>
    <row r="152" spans="1:11">
      <c r="A152" s="342"/>
      <c r="B152" s="252">
        <f t="shared" si="31"/>
        <v>1997</v>
      </c>
      <c r="C152" s="350"/>
      <c r="D152" s="350"/>
      <c r="E152" s="350"/>
      <c r="F152" s="448">
        <f t="shared" si="32"/>
        <v>1.1457198165584912</v>
      </c>
      <c r="G152" s="448">
        <f t="shared" si="32"/>
        <v>1.2681073734267645</v>
      </c>
      <c r="H152" s="448">
        <f t="shared" si="32"/>
        <v>1.4650919694360665</v>
      </c>
      <c r="I152" s="448">
        <f t="shared" si="32"/>
        <v>1.6178891428630677</v>
      </c>
      <c r="J152" s="448">
        <f t="shared" si="32"/>
        <v>1.7515654164347849</v>
      </c>
      <c r="K152" s="448">
        <f t="shared" si="32"/>
        <v>1.7987890678537874</v>
      </c>
    </row>
    <row r="153" spans="1:11">
      <c r="A153" s="342"/>
      <c r="B153" s="252">
        <f t="shared" si="31"/>
        <v>1998</v>
      </c>
      <c r="C153" s="350"/>
      <c r="D153" s="350"/>
      <c r="E153" s="448">
        <f t="shared" si="32"/>
        <v>1.1173530089818409</v>
      </c>
      <c r="F153" s="448">
        <f t="shared" si="32"/>
        <v>1.2181422576315026</v>
      </c>
      <c r="G153" s="448">
        <f t="shared" si="32"/>
        <v>1.3482660912903677</v>
      </c>
      <c r="H153" s="448">
        <f t="shared" si="32"/>
        <v>1.5577023400428576</v>
      </c>
      <c r="I153" s="448">
        <f t="shared" si="32"/>
        <v>1.7201580217095778</v>
      </c>
      <c r="J153" s="448">
        <f t="shared" si="32"/>
        <v>1.8622841465500697</v>
      </c>
      <c r="K153" s="448">
        <f t="shared" si="32"/>
        <v>1.9124928664497929</v>
      </c>
    </row>
    <row r="154" spans="1:11">
      <c r="A154" s="342"/>
      <c r="B154" s="252">
        <f>$B$21</f>
        <v>1999</v>
      </c>
      <c r="C154" s="350"/>
      <c r="D154" s="448">
        <f t="shared" si="32"/>
        <v>1.0118349176425681</v>
      </c>
      <c r="E154" s="448">
        <f t="shared" si="32"/>
        <v>1.0637882770472038</v>
      </c>
      <c r="F154" s="448">
        <f t="shared" si="32"/>
        <v>1.1597457947735008</v>
      </c>
      <c r="G154" s="448">
        <f t="shared" si="32"/>
        <v>1.2836316282549682</v>
      </c>
      <c r="H154" s="448">
        <f t="shared" si="32"/>
        <v>1.4830277227933071</v>
      </c>
      <c r="I154" s="448">
        <f t="shared" si="32"/>
        <v>1.6376954493824589</v>
      </c>
      <c r="J154" s="448">
        <f t="shared" si="32"/>
        <v>1.7730081967882525</v>
      </c>
      <c r="K154" s="448">
        <f t="shared" si="32"/>
        <v>1.8208099632895496</v>
      </c>
    </row>
    <row r="155" spans="1:11">
      <c r="A155" s="342"/>
      <c r="B155" s="252">
        <f>$B$22</f>
        <v>2000</v>
      </c>
      <c r="C155" s="448">
        <f>C133/C$138</f>
        <v>0.97882766250738407</v>
      </c>
      <c r="D155" s="448">
        <f t="shared" si="32"/>
        <v>1.0016919687905841</v>
      </c>
      <c r="E155" s="448">
        <f t="shared" si="32"/>
        <v>1.0531245315139217</v>
      </c>
      <c r="F155" s="448">
        <f t="shared" si="32"/>
        <v>1.1481201411489963</v>
      </c>
      <c r="G155" s="448">
        <f t="shared" si="32"/>
        <v>1.2707641043899947</v>
      </c>
      <c r="H155" s="448">
        <f t="shared" si="32"/>
        <v>1.4681613902759303</v>
      </c>
      <c r="I155" s="448">
        <f t="shared" si="32"/>
        <v>1.6212786793258227</v>
      </c>
      <c r="J155" s="448">
        <f t="shared" si="32"/>
        <v>1.7552350095413931</v>
      </c>
      <c r="K155" s="448">
        <f t="shared" si="32"/>
        <v>1.8025575962237266</v>
      </c>
    </row>
    <row r="156" spans="1:11">
      <c r="A156" s="352"/>
      <c r="B156" s="252" t="s">
        <v>404</v>
      </c>
      <c r="C156" s="350"/>
      <c r="D156" s="350"/>
      <c r="E156" s="350"/>
      <c r="F156" s="350"/>
      <c r="G156" s="350"/>
      <c r="H156" s="350"/>
      <c r="I156" s="350"/>
      <c r="J156" s="350"/>
      <c r="K156" s="350"/>
    </row>
    <row r="157" spans="1:11">
      <c r="A157" s="352"/>
      <c r="B157" s="252">
        <f>B158-1</f>
        <v>2020</v>
      </c>
      <c r="C157" s="448">
        <f t="shared" ref="C157:K157" si="33">C135/C$138</f>
        <v>0.33340622404532849</v>
      </c>
      <c r="D157" s="448">
        <f t="shared" si="33"/>
        <v>0.34119421606403594</v>
      </c>
      <c r="E157" s="448">
        <f t="shared" si="33"/>
        <v>0.35871306763248889</v>
      </c>
      <c r="F157" s="448">
        <f t="shared" si="33"/>
        <v>0.39107027281014228</v>
      </c>
      <c r="G157" s="448">
        <f t="shared" si="33"/>
        <v>0.43284500216483796</v>
      </c>
      <c r="H157" s="448">
        <f t="shared" si="33"/>
        <v>0.50008205138700312</v>
      </c>
      <c r="I157" s="448">
        <f t="shared" si="33"/>
        <v>0.55223654102148134</v>
      </c>
      <c r="J157" s="448">
        <f t="shared" si="33"/>
        <v>0.59786446507272395</v>
      </c>
      <c r="K157" s="448">
        <f t="shared" si="33"/>
        <v>0.6139833852280846</v>
      </c>
    </row>
    <row r="158" spans="1:11">
      <c r="B158" s="252">
        <f>$B$100</f>
        <v>2021</v>
      </c>
      <c r="C158" s="448">
        <f t="shared" ref="C158:K158" si="34">C136/C$138</f>
        <v>0.32031094770273461</v>
      </c>
      <c r="D158" s="448">
        <f t="shared" si="34"/>
        <v>0.32779304888832728</v>
      </c>
      <c r="E158" s="448">
        <f t="shared" si="34"/>
        <v>0.34462380831587708</v>
      </c>
      <c r="F158" s="448">
        <f t="shared" si="34"/>
        <v>0.37571011177389807</v>
      </c>
      <c r="G158" s="448">
        <f t="shared" si="34"/>
        <v>0.41584404504986644</v>
      </c>
      <c r="H158" s="448">
        <f t="shared" si="34"/>
        <v>0.48044020854008102</v>
      </c>
      <c r="I158" s="448">
        <f t="shared" si="34"/>
        <v>0.53054621375821087</v>
      </c>
      <c r="J158" s="448">
        <f t="shared" si="34"/>
        <v>0.57438199887713204</v>
      </c>
      <c r="K158" s="448">
        <f t="shared" si="34"/>
        <v>0.58986781233395069</v>
      </c>
    </row>
    <row r="164" spans="1:13">
      <c r="A164" s="349"/>
      <c r="B164" s="347"/>
    </row>
    <row r="165" spans="1:13">
      <c r="A165" s="349" t="s">
        <v>76</v>
      </c>
      <c r="B165" s="347" t="s">
        <v>405</v>
      </c>
    </row>
    <row r="166" spans="1:13">
      <c r="A166" s="349"/>
      <c r="B166" s="347" t="s">
        <v>406</v>
      </c>
    </row>
    <row r="167" spans="1:13">
      <c r="A167" s="349" t="s">
        <v>170</v>
      </c>
      <c r="B167" s="347" t="s">
        <v>407</v>
      </c>
    </row>
    <row r="168" spans="1:13">
      <c r="B168" s="347"/>
    </row>
    <row r="169" spans="1:13">
      <c r="B169" s="347" t="s">
        <v>272</v>
      </c>
    </row>
    <row r="170" spans="1:13">
      <c r="A170" s="347"/>
      <c r="B170" s="347"/>
      <c r="C170" s="347"/>
      <c r="D170" s="347"/>
      <c r="E170" s="347"/>
      <c r="F170" s="347"/>
      <c r="G170" s="347"/>
      <c r="H170" s="347"/>
      <c r="I170" s="347"/>
      <c r="J170" s="347"/>
      <c r="K170" s="347"/>
      <c r="L170" s="347"/>
      <c r="M170" s="143" t="s">
        <v>389</v>
      </c>
    </row>
    <row r="171" spans="1:13">
      <c r="A171" s="245" t="str">
        <f>A2</f>
        <v>Paid Loss Development Factors</v>
      </c>
      <c r="B171" s="245"/>
      <c r="C171" s="245"/>
      <c r="D171" s="245"/>
      <c r="E171" s="245"/>
      <c r="F171" s="245"/>
      <c r="G171" s="245"/>
      <c r="H171" s="245"/>
      <c r="I171" s="245"/>
      <c r="J171" s="245"/>
      <c r="K171" s="245"/>
      <c r="L171" s="245"/>
      <c r="M171" s="245"/>
    </row>
    <row r="172" spans="1:13">
      <c r="A172" s="245" t="str">
        <f t="shared" ref="A172:A173" si="35">A3</f>
        <v>Adjusted for the Impact of Claim Settlement Rate</v>
      </c>
      <c r="B172" s="245"/>
      <c r="C172" s="245"/>
      <c r="D172" s="245"/>
      <c r="E172" s="245"/>
      <c r="F172" s="245"/>
      <c r="G172" s="245"/>
      <c r="H172" s="245"/>
      <c r="I172" s="245"/>
      <c r="J172" s="245"/>
      <c r="K172" s="245"/>
      <c r="L172" s="245"/>
      <c r="M172" s="245"/>
    </row>
    <row r="173" spans="1:13">
      <c r="A173" s="245" t="str">
        <f t="shared" si="35"/>
        <v>Changes on Later Period Development</v>
      </c>
      <c r="B173" s="245"/>
      <c r="C173" s="245"/>
      <c r="D173" s="245"/>
      <c r="E173" s="245"/>
      <c r="F173" s="245"/>
      <c r="G173" s="245"/>
      <c r="H173" s="245"/>
      <c r="I173" s="245"/>
      <c r="J173" s="245"/>
      <c r="K173" s="245"/>
      <c r="L173" s="245"/>
      <c r="M173" s="245"/>
    </row>
    <row r="174" spans="1:13">
      <c r="A174" s="245"/>
      <c r="B174" s="245"/>
      <c r="C174" s="245"/>
      <c r="D174" s="245"/>
      <c r="E174" s="245"/>
      <c r="F174" s="245"/>
      <c r="G174" s="245"/>
      <c r="H174" s="245"/>
      <c r="I174" s="245"/>
      <c r="J174" s="245"/>
      <c r="K174" s="245"/>
      <c r="L174" s="245"/>
      <c r="M174" s="245"/>
    </row>
    <row r="175" spans="1:13">
      <c r="A175" s="245"/>
      <c r="B175" s="245"/>
      <c r="C175" s="245"/>
      <c r="D175" s="245"/>
      <c r="E175" s="245"/>
      <c r="F175" s="245"/>
      <c r="G175" s="245"/>
      <c r="H175" s="245"/>
      <c r="I175" s="245"/>
      <c r="J175" s="245"/>
      <c r="K175" s="245"/>
      <c r="L175" s="245"/>
      <c r="M175" s="245"/>
    </row>
    <row r="176" spans="1:13">
      <c r="A176" s="347"/>
      <c r="B176" s="347"/>
      <c r="C176" s="347"/>
      <c r="D176" s="347"/>
      <c r="E176" s="347"/>
      <c r="F176" s="347"/>
      <c r="G176" s="347"/>
      <c r="H176" s="347"/>
      <c r="I176" s="347"/>
      <c r="J176" s="347"/>
      <c r="K176" s="347"/>
      <c r="L176" s="347"/>
      <c r="M176" s="347"/>
    </row>
    <row r="177" spans="1:11">
      <c r="C177" s="344" t="s">
        <v>411</v>
      </c>
      <c r="D177" s="348"/>
      <c r="E177" s="348"/>
      <c r="F177" s="348"/>
      <c r="G177" s="348"/>
      <c r="H177" s="348"/>
      <c r="I177" s="348"/>
      <c r="J177" s="348"/>
      <c r="K177" s="348"/>
    </row>
    <row r="178" spans="1:11">
      <c r="B178" s="56" t="s">
        <v>337</v>
      </c>
      <c r="C178" s="77" t="str">
        <f t="shared" ref="C178:K178" si="36">C$11&amp;"-"&amp;C$11+12</f>
        <v>288-300</v>
      </c>
      <c r="D178" s="77" t="str">
        <f t="shared" si="36"/>
        <v>300-312</v>
      </c>
      <c r="E178" s="77" t="str">
        <f t="shared" si="36"/>
        <v>312-324</v>
      </c>
      <c r="F178" s="77" t="str">
        <f t="shared" si="36"/>
        <v>324-336</v>
      </c>
      <c r="G178" s="77" t="str">
        <f t="shared" si="36"/>
        <v>336-348</v>
      </c>
      <c r="H178" s="77" t="str">
        <f t="shared" si="36"/>
        <v>348-360</v>
      </c>
      <c r="I178" s="77" t="str">
        <f t="shared" si="36"/>
        <v>360-372</v>
      </c>
      <c r="J178" s="77" t="str">
        <f t="shared" si="36"/>
        <v>372-384</v>
      </c>
      <c r="K178" s="77" t="str">
        <f t="shared" si="36"/>
        <v>384-396</v>
      </c>
    </row>
    <row r="183" spans="1:11">
      <c r="A183" s="311" t="s">
        <v>418</v>
      </c>
      <c r="B183" s="56"/>
    </row>
    <row r="184" spans="1:11">
      <c r="B184" s="56"/>
    </row>
    <row r="185" spans="1:11">
      <c r="B185" s="56"/>
    </row>
    <row r="186" spans="1:11">
      <c r="B186" s="56" t="s">
        <v>3</v>
      </c>
      <c r="C186" s="512">
        <f>'Exhibit 2.3.2'!I$29</f>
        <v>1.0023333333333333</v>
      </c>
      <c r="D186" s="512">
        <f>'Exhibit 2.3.2'!J$29</f>
        <v>1.0016666666666667</v>
      </c>
      <c r="E186" s="512">
        <f>'Exhibit 2.3.2'!K$29</f>
        <v>1.0013333333333332</v>
      </c>
      <c r="F186" s="512">
        <f>'Exhibit 2.3.2'!L$29</f>
        <v>1.0013333333333332</v>
      </c>
      <c r="G186" s="512">
        <f>'Exhibit 2.3.2'!M$29</f>
        <v>1.0009999999999999</v>
      </c>
      <c r="H186" s="512">
        <f>'Exhibit 2.3.2'!N$29</f>
        <v>1.0009999999999999</v>
      </c>
      <c r="I186" s="512">
        <f>'Exhibit 2.3.2'!O$29</f>
        <v>1.0009999999999999</v>
      </c>
      <c r="J186" s="512">
        <f>'Exhibit 2.3.2'!P$29</f>
        <v>1.0006666666666666</v>
      </c>
      <c r="K186" s="512">
        <f>'Exhibit 2.3.2'!Q$29</f>
        <v>1.0006666666666666</v>
      </c>
    </row>
    <row r="187" spans="1:11">
      <c r="B187" s="56" t="s">
        <v>5</v>
      </c>
      <c r="C187" s="512">
        <f>'Exhibit 2.4.2'!I$53</f>
        <v>1.0073333333333332</v>
      </c>
      <c r="D187" s="512">
        <f>'Exhibit 2.4.2'!J$53</f>
        <v>1.0056666666666665</v>
      </c>
      <c r="E187" s="512">
        <f>'Exhibit 2.4.2'!K$53</f>
        <v>1.0066666666666666</v>
      </c>
      <c r="F187" s="512">
        <f>'Exhibit 2.4.2'!L$53</f>
        <v>1.0046666666666666</v>
      </c>
      <c r="G187" s="512">
        <f>'Exhibit 2.4.2'!M$53</f>
        <v>1.0033333333333332</v>
      </c>
      <c r="H187" s="512">
        <f>'Exhibit 2.4.2'!N$53</f>
        <v>1.0029999999999999</v>
      </c>
      <c r="I187" s="512">
        <f>'Exhibit 2.4.2'!O$53</f>
        <v>1.0023333333333333</v>
      </c>
      <c r="J187" s="512">
        <f>'Exhibit 2.4.2'!P$53</f>
        <v>1.0036666666666667</v>
      </c>
      <c r="K187" s="512">
        <f>'Exhibit 2.4.2'!Q$53</f>
        <v>1.002</v>
      </c>
    </row>
    <row r="192" spans="1:11">
      <c r="A192" s="311" t="s">
        <v>410</v>
      </c>
      <c r="B192" s="56"/>
      <c r="C192" s="56"/>
    </row>
    <row r="193" spans="1:11">
      <c r="B193" s="56"/>
      <c r="C193" s="56"/>
    </row>
    <row r="194" spans="1:11">
      <c r="B194" s="56"/>
    </row>
    <row r="195" spans="1:11">
      <c r="B195" s="351" t="str">
        <f>"Accident Year "&amp;$B$157</f>
        <v>Accident Year 2020</v>
      </c>
      <c r="C195" s="448">
        <f>(C157-1)*0.4+1</f>
        <v>0.73336248961813144</v>
      </c>
      <c r="D195" s="448">
        <f t="shared" ref="D195:K195" si="37">(D157-1)*0.4+1</f>
        <v>0.7364776864256144</v>
      </c>
      <c r="E195" s="448">
        <f t="shared" si="37"/>
        <v>0.74348522705299547</v>
      </c>
      <c r="F195" s="448">
        <f t="shared" si="37"/>
        <v>0.75642810912405689</v>
      </c>
      <c r="G195" s="448">
        <f t="shared" si="37"/>
        <v>0.7731380008659352</v>
      </c>
      <c r="H195" s="448">
        <f t="shared" si="37"/>
        <v>0.80003282055480129</v>
      </c>
      <c r="I195" s="448">
        <f t="shared" si="37"/>
        <v>0.82089461640859251</v>
      </c>
      <c r="J195" s="448">
        <f t="shared" si="37"/>
        <v>0.83914578602908962</v>
      </c>
      <c r="K195" s="448">
        <f t="shared" si="37"/>
        <v>0.84559335409123382</v>
      </c>
    </row>
    <row r="196" spans="1:11">
      <c r="B196" s="351" t="str">
        <f>"Accident Year "&amp;$B$158</f>
        <v>Accident Year 2021</v>
      </c>
      <c r="C196" s="448">
        <f t="shared" ref="C196:K196" si="38">(C158-1)*0.4+1</f>
        <v>0.72812437908109384</v>
      </c>
      <c r="D196" s="448">
        <f t="shared" si="38"/>
        <v>0.73111721955533082</v>
      </c>
      <c r="E196" s="448">
        <f t="shared" si="38"/>
        <v>0.73784952332635079</v>
      </c>
      <c r="F196" s="448">
        <f t="shared" si="38"/>
        <v>0.75028404470955923</v>
      </c>
      <c r="G196" s="448">
        <f t="shared" si="38"/>
        <v>0.7663376180199466</v>
      </c>
      <c r="H196" s="448">
        <f t="shared" si="38"/>
        <v>0.79217608341603241</v>
      </c>
      <c r="I196" s="448">
        <f t="shared" si="38"/>
        <v>0.81221848550328435</v>
      </c>
      <c r="J196" s="448">
        <f t="shared" si="38"/>
        <v>0.82975279955085279</v>
      </c>
      <c r="K196" s="448">
        <f t="shared" si="38"/>
        <v>0.83594712493358025</v>
      </c>
    </row>
    <row r="201" spans="1:11">
      <c r="A201" s="311" t="s">
        <v>417</v>
      </c>
      <c r="B201" s="56"/>
      <c r="C201" s="56"/>
    </row>
    <row r="202" spans="1:11">
      <c r="A202" s="311"/>
      <c r="B202" s="56"/>
      <c r="C202" s="56"/>
    </row>
    <row r="203" spans="1:11">
      <c r="B203" s="56"/>
      <c r="C203" s="484"/>
    </row>
    <row r="204" spans="1:11">
      <c r="B204" s="56" t="s">
        <v>3</v>
      </c>
    </row>
    <row r="205" spans="1:11">
      <c r="B205" s="56" t="str">
        <f>$B$195</f>
        <v>Accident Year 2020</v>
      </c>
      <c r="C205" s="449">
        <v>1.0017139956829422</v>
      </c>
      <c r="D205" s="449">
        <v>1.001229521619065</v>
      </c>
      <c r="E205" s="449">
        <v>1.0009930452514992</v>
      </c>
      <c r="F205" s="449">
        <v>1.001010458625516</v>
      </c>
      <c r="G205" s="449">
        <v>1.0007747051052278</v>
      </c>
      <c r="H205" s="449">
        <v>1.0008018433549497</v>
      </c>
      <c r="I205" s="449">
        <v>1.0008228939748116</v>
      </c>
      <c r="J205" s="449">
        <v>1.00056087355945</v>
      </c>
      <c r="K205" s="449">
        <v>1.0005652108435861</v>
      </c>
    </row>
    <row r="206" spans="1:11">
      <c r="B206" s="56" t="str">
        <f>$B$196</f>
        <v>Accident Year 2021</v>
      </c>
      <c r="C206" s="449">
        <v>1.0017111791424422</v>
      </c>
      <c r="D206" s="449">
        <v>1.0012274628107094</v>
      </c>
      <c r="E206" s="449">
        <v>1.0009913136360706</v>
      </c>
      <c r="F206" s="449">
        <v>1.0010085708121652</v>
      </c>
      <c r="G206" s="449">
        <v>1.0007731380008658</v>
      </c>
      <c r="H206" s="449">
        <v>1.0008000328205546</v>
      </c>
      <c r="I206" s="449">
        <v>1.0008208946164086</v>
      </c>
      <c r="J206" s="449">
        <v>1.0005594305240193</v>
      </c>
      <c r="K206" s="449">
        <v>1.0005637289027274</v>
      </c>
    </row>
    <row r="207" spans="1:11">
      <c r="C207" s="153"/>
      <c r="D207" s="153"/>
      <c r="E207" s="153"/>
      <c r="F207" s="153"/>
      <c r="G207" s="153"/>
      <c r="H207" s="153"/>
      <c r="I207" s="153"/>
      <c r="J207" s="153"/>
      <c r="K207" s="153"/>
    </row>
    <row r="208" spans="1:11">
      <c r="C208" s="153"/>
      <c r="D208" s="153"/>
      <c r="E208" s="153"/>
      <c r="F208" s="153"/>
      <c r="G208" s="153"/>
      <c r="H208" s="153"/>
      <c r="I208" s="153"/>
      <c r="J208" s="153"/>
      <c r="K208" s="153"/>
    </row>
    <row r="209" spans="1:11">
      <c r="B209" s="56" t="s">
        <v>5</v>
      </c>
      <c r="C209" s="153"/>
      <c r="D209" s="153"/>
      <c r="E209" s="153"/>
      <c r="F209" s="153"/>
      <c r="G209" s="153"/>
      <c r="H209" s="153"/>
      <c r="I209" s="153"/>
      <c r="J209" s="153"/>
      <c r="K209" s="153"/>
    </row>
    <row r="210" spans="1:11">
      <c r="B210" s="56" t="str">
        <f>$B$195</f>
        <v>Accident Year 2020</v>
      </c>
      <c r="C210" s="449">
        <v>1.0053868435749609</v>
      </c>
      <c r="D210" s="449">
        <v>1.0041803735048209</v>
      </c>
      <c r="E210" s="449">
        <v>1.0049652262574971</v>
      </c>
      <c r="F210" s="449">
        <v>1.0035366051893062</v>
      </c>
      <c r="G210" s="449">
        <v>1.0025823503507598</v>
      </c>
      <c r="H210" s="449">
        <v>1.0024055300648493</v>
      </c>
      <c r="I210" s="449">
        <v>1.0019200859412272</v>
      </c>
      <c r="J210" s="449">
        <v>1.0030848045769751</v>
      </c>
      <c r="K210" s="449">
        <v>1.0016956325307582</v>
      </c>
    </row>
    <row r="211" spans="1:11">
      <c r="B211" s="56" t="str">
        <f>$B$196</f>
        <v>Accident Year 2021</v>
      </c>
      <c r="C211" s="449">
        <v>1.0053779915905328</v>
      </c>
      <c r="D211" s="449">
        <v>1.0041733735564118</v>
      </c>
      <c r="E211" s="449">
        <v>1.0049565681803532</v>
      </c>
      <c r="F211" s="449">
        <v>1.0035299978425789</v>
      </c>
      <c r="G211" s="449">
        <v>1.0025771266695529</v>
      </c>
      <c r="H211" s="449">
        <v>1.0024000984616643</v>
      </c>
      <c r="I211" s="449">
        <v>1.0019154207716201</v>
      </c>
      <c r="J211" s="449">
        <v>1.0030768678821067</v>
      </c>
      <c r="K211" s="449">
        <v>1.0016911867081826</v>
      </c>
    </row>
    <row r="219" spans="1:11">
      <c r="A219" s="349" t="s">
        <v>172</v>
      </c>
      <c r="B219" s="347" t="s">
        <v>412</v>
      </c>
    </row>
    <row r="220" spans="1:11">
      <c r="A220" s="349"/>
      <c r="B220" s="347" t="s">
        <v>413</v>
      </c>
    </row>
    <row r="221" spans="1:11">
      <c r="A221" s="349" t="s">
        <v>98</v>
      </c>
      <c r="B221" s="347" t="s">
        <v>414</v>
      </c>
    </row>
    <row r="222" spans="1:11">
      <c r="A222" s="349"/>
      <c r="B222" s="347" t="s">
        <v>415</v>
      </c>
    </row>
    <row r="223" spans="1:11">
      <c r="A223" s="349" t="s">
        <v>269</v>
      </c>
      <c r="B223" s="347" t="s">
        <v>416</v>
      </c>
    </row>
    <row r="225" spans="2:2">
      <c r="B225" s="347" t="s">
        <v>272</v>
      </c>
    </row>
  </sheetData>
  <printOptions horizontalCentered="1"/>
  <pageMargins left="0.25" right="0.25" top="0.33" bottom="0.5" header="0.2" footer="0.3"/>
  <pageSetup scale="86" fitToHeight="4" orientation="portrait" blackAndWhite="1" r:id="rId1"/>
  <headerFooter scaleWithDoc="0"/>
  <rowBreaks count="3" manualBreakCount="3">
    <brk id="54" max="12" man="1"/>
    <brk id="111" max="12" man="1"/>
    <brk id="169"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V57"/>
  <sheetViews>
    <sheetView zoomScaleNormal="100" zoomScaleSheetLayoutView="100" workbookViewId="0">
      <selection sqref="A1:V1"/>
    </sheetView>
  </sheetViews>
  <sheetFormatPr defaultColWidth="9.140625" defaultRowHeight="12.75"/>
  <cols>
    <col min="1" max="1" width="20.28515625" style="120" customWidth="1"/>
    <col min="2" max="2" width="8" style="159" customWidth="1"/>
    <col min="3" max="6" width="8" style="120" customWidth="1"/>
    <col min="7" max="20" width="7.7109375" style="120" customWidth="1"/>
    <col min="21" max="21" width="7.7109375" style="286" customWidth="1"/>
    <col min="22" max="22" width="7.7109375" style="234" customWidth="1"/>
    <col min="23" max="16384" width="9.140625" style="120"/>
  </cols>
  <sheetData>
    <row r="1" spans="1:22" ht="12.75" customHeight="1">
      <c r="A1" s="525" t="str">
        <f>"Selected Medical Development Factors - Paid to Ultimate"</f>
        <v>Selected Medical Development Factors - Paid to Ultimate</v>
      </c>
      <c r="B1" s="525"/>
      <c r="C1" s="525"/>
      <c r="D1" s="525"/>
      <c r="E1" s="525"/>
      <c r="F1" s="525"/>
      <c r="G1" s="525"/>
      <c r="H1" s="525"/>
      <c r="I1" s="525"/>
      <c r="J1" s="525"/>
      <c r="K1" s="525"/>
      <c r="L1" s="525"/>
      <c r="M1" s="525"/>
      <c r="N1" s="525"/>
      <c r="O1" s="525"/>
      <c r="P1" s="525"/>
      <c r="Q1" s="525"/>
      <c r="R1" s="525"/>
      <c r="S1" s="525"/>
      <c r="T1" s="525"/>
      <c r="U1" s="525"/>
      <c r="V1" s="525"/>
    </row>
    <row r="2" spans="1:22" ht="12" customHeight="1">
      <c r="A2" s="17"/>
      <c r="B2" s="17"/>
      <c r="C2" s="17"/>
      <c r="D2" s="17"/>
      <c r="E2" s="17"/>
      <c r="F2" s="17"/>
      <c r="G2" s="17"/>
      <c r="H2" s="17"/>
      <c r="I2" s="17"/>
      <c r="J2" s="17"/>
      <c r="K2" s="17"/>
      <c r="L2" s="17"/>
      <c r="M2" s="17"/>
      <c r="N2" s="17"/>
      <c r="O2" s="17"/>
      <c r="P2" s="17"/>
      <c r="Q2" s="17"/>
      <c r="R2" s="17"/>
      <c r="S2" s="17"/>
      <c r="T2" s="17"/>
      <c r="U2" s="17"/>
      <c r="V2" s="17"/>
    </row>
    <row r="3" spans="1:22" ht="12" customHeight="1">
      <c r="A3" s="1" t="s">
        <v>419</v>
      </c>
      <c r="B3" s="526" t="s">
        <v>18</v>
      </c>
      <c r="C3" s="526"/>
      <c r="D3" s="526"/>
      <c r="E3" s="526"/>
      <c r="F3" s="526"/>
      <c r="G3" s="526"/>
      <c r="H3" s="526"/>
      <c r="I3" s="526"/>
      <c r="J3" s="526"/>
      <c r="K3" s="526"/>
      <c r="L3" s="526"/>
      <c r="M3" s="526"/>
      <c r="N3" s="526"/>
      <c r="O3" s="526"/>
      <c r="P3" s="526"/>
      <c r="Q3" s="526"/>
      <c r="R3" s="526"/>
      <c r="S3" s="526"/>
      <c r="T3" s="526"/>
      <c r="U3" s="526"/>
      <c r="V3" s="526"/>
    </row>
    <row r="4" spans="1:22" ht="12" customHeight="1">
      <c r="A4" s="19" t="s">
        <v>19</v>
      </c>
      <c r="B4" s="19" t="s">
        <v>445</v>
      </c>
      <c r="C4" s="19" t="s">
        <v>446</v>
      </c>
      <c r="D4" s="19" t="s">
        <v>447</v>
      </c>
      <c r="E4" s="19" t="s">
        <v>448</v>
      </c>
      <c r="F4" s="19" t="s">
        <v>449</v>
      </c>
      <c r="G4" s="19" t="s">
        <v>450</v>
      </c>
      <c r="H4" s="19" t="s">
        <v>451</v>
      </c>
      <c r="I4" s="19" t="s">
        <v>452</v>
      </c>
      <c r="J4" s="19" t="s">
        <v>453</v>
      </c>
      <c r="K4" s="19" t="s">
        <v>454</v>
      </c>
      <c r="L4" s="19" t="s">
        <v>455</v>
      </c>
      <c r="M4" s="19" t="s">
        <v>456</v>
      </c>
      <c r="N4" s="19" t="s">
        <v>457</v>
      </c>
      <c r="O4" s="19" t="s">
        <v>458</v>
      </c>
      <c r="P4" s="19" t="s">
        <v>459</v>
      </c>
      <c r="Q4" s="19" t="s">
        <v>460</v>
      </c>
      <c r="R4" s="19" t="s">
        <v>461</v>
      </c>
      <c r="S4" s="19" t="s">
        <v>462</v>
      </c>
      <c r="T4" s="19" t="s">
        <v>463</v>
      </c>
      <c r="U4" s="19" t="s">
        <v>464</v>
      </c>
      <c r="V4" s="19" t="s">
        <v>465</v>
      </c>
    </row>
    <row r="5" spans="1:22" s="286" customFormat="1" ht="12" customHeight="1">
      <c r="A5" s="1">
        <f t="shared" ref="A5:A25" si="0">A6-1</f>
        <v>1998</v>
      </c>
      <c r="B5" s="21"/>
      <c r="C5" s="21"/>
      <c r="D5" s="21"/>
      <c r="E5" s="21"/>
      <c r="F5" s="21"/>
      <c r="G5" s="21"/>
      <c r="H5" s="21"/>
      <c r="I5" s="21"/>
      <c r="J5" s="21"/>
      <c r="K5" s="21"/>
      <c r="L5" s="21"/>
      <c r="M5" s="21"/>
      <c r="N5" s="21"/>
      <c r="O5" s="21"/>
      <c r="P5" s="21"/>
      <c r="Q5" s="21"/>
      <c r="R5" s="21"/>
      <c r="S5" s="21"/>
      <c r="T5" s="21"/>
      <c r="U5" s="21"/>
      <c r="V5" s="21">
        <v>1.01</v>
      </c>
    </row>
    <row r="6" spans="1:22" s="234" customFormat="1" ht="12" customHeight="1">
      <c r="A6" s="1">
        <f t="shared" si="0"/>
        <v>1999</v>
      </c>
      <c r="B6" s="21"/>
      <c r="C6" s="21"/>
      <c r="D6" s="21"/>
      <c r="E6" s="21"/>
      <c r="F6" s="21"/>
      <c r="G6" s="21"/>
      <c r="H6" s="21"/>
      <c r="I6" s="21"/>
      <c r="J6" s="21"/>
      <c r="K6" s="21"/>
      <c r="L6" s="21"/>
      <c r="M6" s="21"/>
      <c r="N6" s="21"/>
      <c r="O6" s="21"/>
      <c r="P6" s="21"/>
      <c r="Q6" s="21"/>
      <c r="R6" s="21"/>
      <c r="S6" s="21"/>
      <c r="T6" s="21"/>
      <c r="U6" s="21">
        <v>1.0089999999999999</v>
      </c>
      <c r="V6" s="21">
        <v>1.006</v>
      </c>
    </row>
    <row r="7" spans="1:22" s="205" customFormat="1" ht="12" customHeight="1">
      <c r="A7" s="1">
        <f t="shared" si="0"/>
        <v>2000</v>
      </c>
      <c r="B7" s="21"/>
      <c r="C7" s="21"/>
      <c r="D7" s="21"/>
      <c r="E7" s="21"/>
      <c r="F7" s="21"/>
      <c r="G7" s="21"/>
      <c r="H7" s="21"/>
      <c r="I7" s="21"/>
      <c r="J7" s="21"/>
      <c r="K7" s="21"/>
      <c r="L7" s="21"/>
      <c r="M7" s="21"/>
      <c r="N7" s="21"/>
      <c r="O7" s="21"/>
      <c r="P7" s="21"/>
      <c r="Q7" s="21"/>
      <c r="R7" s="21"/>
      <c r="S7" s="21"/>
      <c r="T7" s="21">
        <v>1.0069999999999999</v>
      </c>
      <c r="U7" s="21">
        <v>1.006</v>
      </c>
      <c r="V7" s="21">
        <v>1.006</v>
      </c>
    </row>
    <row r="8" spans="1:22" ht="12" customHeight="1">
      <c r="A8" s="1">
        <f t="shared" si="0"/>
        <v>2001</v>
      </c>
      <c r="B8" s="21"/>
      <c r="C8" s="21"/>
      <c r="D8" s="21"/>
      <c r="E8" s="21"/>
      <c r="F8" s="21"/>
      <c r="G8" s="21"/>
      <c r="H8" s="21"/>
      <c r="I8" s="21"/>
      <c r="J8" s="21"/>
      <c r="K8" s="21"/>
      <c r="L8" s="21"/>
      <c r="M8" s="21"/>
      <c r="N8" s="21"/>
      <c r="O8" s="21"/>
      <c r="P8" s="21"/>
      <c r="Q8" s="21"/>
      <c r="R8" s="21"/>
      <c r="S8" s="21">
        <v>1.0109999999999999</v>
      </c>
      <c r="T8" s="21">
        <v>1.01</v>
      </c>
      <c r="U8" s="21">
        <v>1.006</v>
      </c>
      <c r="V8" s="21" t="s">
        <v>34</v>
      </c>
    </row>
    <row r="9" spans="1:22" ht="12" customHeight="1">
      <c r="A9" s="1">
        <f t="shared" si="0"/>
        <v>2002</v>
      </c>
      <c r="B9" s="21"/>
      <c r="C9" s="21"/>
      <c r="D9" s="21"/>
      <c r="E9" s="21"/>
      <c r="F9" s="21"/>
      <c r="G9" s="21"/>
      <c r="H9" s="21"/>
      <c r="I9" s="21"/>
      <c r="J9" s="21"/>
      <c r="K9" s="21"/>
      <c r="L9" s="21"/>
      <c r="M9" s="21"/>
      <c r="N9" s="21"/>
      <c r="O9" s="21"/>
      <c r="P9" s="21"/>
      <c r="Q9" s="21"/>
      <c r="R9" s="21">
        <v>1.01</v>
      </c>
      <c r="S9" s="21">
        <v>1.0089999999999999</v>
      </c>
      <c r="T9" s="21">
        <v>1.0069999999999999</v>
      </c>
      <c r="U9" s="21" t="s">
        <v>34</v>
      </c>
      <c r="V9" s="21"/>
    </row>
    <row r="10" spans="1:22" ht="12" customHeight="1">
      <c r="A10" s="1">
        <f t="shared" si="0"/>
        <v>2003</v>
      </c>
      <c r="B10" s="21"/>
      <c r="C10" s="21"/>
      <c r="D10" s="21"/>
      <c r="E10" s="21"/>
      <c r="F10" s="21"/>
      <c r="G10" s="21"/>
      <c r="H10" s="21"/>
      <c r="I10" s="21"/>
      <c r="J10" s="21"/>
      <c r="K10" s="21"/>
      <c r="L10" s="21"/>
      <c r="M10" s="21"/>
      <c r="N10" s="21"/>
      <c r="O10" s="21"/>
      <c r="P10" s="21"/>
      <c r="Q10" s="21">
        <v>1.0109999999999999</v>
      </c>
      <c r="R10" s="21">
        <v>1.012</v>
      </c>
      <c r="S10" s="21">
        <v>1.0089999999999999</v>
      </c>
      <c r="T10" s="21"/>
      <c r="U10" s="21"/>
      <c r="V10" s="21"/>
    </row>
    <row r="11" spans="1:22" ht="12" customHeight="1">
      <c r="A11" s="1">
        <f t="shared" si="0"/>
        <v>2004</v>
      </c>
      <c r="B11" s="21"/>
      <c r="C11" s="21"/>
      <c r="D11" s="21"/>
      <c r="E11" s="21"/>
      <c r="F11" s="21"/>
      <c r="G11" s="21"/>
      <c r="H11" s="21"/>
      <c r="I11" s="21"/>
      <c r="J11" s="21"/>
      <c r="K11" s="21"/>
      <c r="L11" s="21"/>
      <c r="M11" s="21"/>
      <c r="N11" s="21"/>
      <c r="O11" s="21"/>
      <c r="P11" s="21">
        <v>1.014</v>
      </c>
      <c r="Q11" s="21">
        <v>1.01</v>
      </c>
      <c r="R11" s="21">
        <v>1.008</v>
      </c>
      <c r="S11" s="21"/>
      <c r="T11" s="21"/>
      <c r="U11" s="21"/>
      <c r="V11" s="21"/>
    </row>
    <row r="12" spans="1:22" ht="12" customHeight="1">
      <c r="A12" s="1">
        <f t="shared" si="0"/>
        <v>2005</v>
      </c>
      <c r="B12" s="21"/>
      <c r="C12" s="21"/>
      <c r="D12" s="21"/>
      <c r="E12" s="21"/>
      <c r="F12" s="21"/>
      <c r="G12" s="21"/>
      <c r="H12" s="21"/>
      <c r="I12" s="21"/>
      <c r="J12" s="21"/>
      <c r="K12" s="21"/>
      <c r="L12" s="21"/>
      <c r="M12" s="21"/>
      <c r="N12" s="21"/>
      <c r="O12" s="21">
        <v>1.0149999999999999</v>
      </c>
      <c r="P12" s="21">
        <v>1.0129999999999999</v>
      </c>
      <c r="Q12" s="21">
        <v>1.008</v>
      </c>
      <c r="R12" s="21"/>
      <c r="S12" s="21"/>
      <c r="T12" s="21"/>
      <c r="U12" s="21"/>
      <c r="V12" s="21"/>
    </row>
    <row r="13" spans="1:22" ht="12" customHeight="1">
      <c r="A13" s="1">
        <f t="shared" si="0"/>
        <v>2006</v>
      </c>
      <c r="B13" s="21"/>
      <c r="C13" s="21"/>
      <c r="D13" s="21"/>
      <c r="E13" s="21"/>
      <c r="F13" s="21"/>
      <c r="G13" s="21"/>
      <c r="H13" s="21"/>
      <c r="I13" s="21"/>
      <c r="J13" s="21"/>
      <c r="K13" s="21"/>
      <c r="L13" s="21"/>
      <c r="M13" s="21"/>
      <c r="N13" s="21">
        <v>1.016</v>
      </c>
      <c r="O13" s="21">
        <v>1.012</v>
      </c>
      <c r="P13" s="21">
        <v>1.0109999999999999</v>
      </c>
      <c r="Q13" s="21"/>
      <c r="R13" s="21"/>
      <c r="S13" s="21"/>
      <c r="T13" s="21"/>
      <c r="U13" s="21"/>
      <c r="V13" s="21"/>
    </row>
    <row r="14" spans="1:22" ht="12" customHeight="1">
      <c r="A14" s="1">
        <f t="shared" si="0"/>
        <v>2007</v>
      </c>
      <c r="B14" s="21"/>
      <c r="C14" s="21"/>
      <c r="D14" s="21"/>
      <c r="E14" s="21"/>
      <c r="F14" s="21"/>
      <c r="G14" s="21"/>
      <c r="H14" s="21"/>
      <c r="I14" s="21"/>
      <c r="J14" s="21"/>
      <c r="K14" s="21"/>
      <c r="L14" s="21"/>
      <c r="M14" s="21">
        <v>1.016</v>
      </c>
      <c r="N14" s="21">
        <v>1.014</v>
      </c>
      <c r="O14" s="21">
        <v>1.0109999999999999</v>
      </c>
      <c r="P14" s="21"/>
      <c r="Q14" s="21"/>
      <c r="R14" s="21"/>
      <c r="S14" s="21"/>
      <c r="T14" s="21"/>
      <c r="U14" s="21"/>
      <c r="V14" s="21"/>
    </row>
    <row r="15" spans="1:22" ht="12" customHeight="1">
      <c r="A15" s="1">
        <f t="shared" si="0"/>
        <v>2008</v>
      </c>
      <c r="B15" s="21"/>
      <c r="C15" s="21"/>
      <c r="D15" s="21"/>
      <c r="E15" s="21"/>
      <c r="F15" s="21"/>
      <c r="G15" s="21"/>
      <c r="H15" s="21"/>
      <c r="I15" s="21"/>
      <c r="J15" s="21"/>
      <c r="K15" s="21"/>
      <c r="L15" s="21">
        <v>1.018</v>
      </c>
      <c r="M15" s="21">
        <v>1.0129999999999999</v>
      </c>
      <c r="N15" s="21">
        <v>1.01</v>
      </c>
      <c r="O15" s="21"/>
      <c r="P15" s="21"/>
      <c r="Q15" s="21"/>
      <c r="R15" s="21"/>
      <c r="S15" s="21"/>
      <c r="T15" s="21"/>
      <c r="U15" s="21"/>
      <c r="V15" s="21"/>
    </row>
    <row r="16" spans="1:22" ht="12" customHeight="1">
      <c r="A16" s="1">
        <f t="shared" si="0"/>
        <v>2009</v>
      </c>
      <c r="B16" s="21"/>
      <c r="C16" s="21"/>
      <c r="D16" s="21"/>
      <c r="E16" s="21"/>
      <c r="F16" s="21"/>
      <c r="G16" s="21"/>
      <c r="H16" s="21"/>
      <c r="I16" s="21"/>
      <c r="J16" s="21"/>
      <c r="K16" s="21">
        <v>1.0209999999999999</v>
      </c>
      <c r="L16" s="21">
        <v>1.014</v>
      </c>
      <c r="M16" s="21">
        <v>1.0149999999999999</v>
      </c>
      <c r="N16" s="21"/>
      <c r="O16" s="21"/>
      <c r="P16" s="21"/>
      <c r="Q16" s="21"/>
      <c r="R16" s="21"/>
      <c r="S16" s="21"/>
      <c r="T16" s="21"/>
      <c r="U16" s="21"/>
      <c r="V16" s="21"/>
    </row>
    <row r="17" spans="1:22" ht="12" customHeight="1">
      <c r="A17" s="1">
        <f t="shared" si="0"/>
        <v>2010</v>
      </c>
      <c r="B17" s="21"/>
      <c r="C17" s="21"/>
      <c r="D17" s="21"/>
      <c r="E17" s="21"/>
      <c r="F17" s="21"/>
      <c r="G17" s="21"/>
      <c r="H17" s="21"/>
      <c r="I17" s="21"/>
      <c r="J17" s="21">
        <v>1.026</v>
      </c>
      <c r="K17" s="21">
        <v>1.0189999999999999</v>
      </c>
      <c r="L17" s="21">
        <v>1.014</v>
      </c>
      <c r="M17" s="21"/>
      <c r="N17" s="21"/>
      <c r="O17" s="21"/>
      <c r="P17" s="21"/>
      <c r="Q17" s="21"/>
      <c r="R17" s="21"/>
      <c r="S17" s="21"/>
      <c r="T17" s="21"/>
      <c r="U17" s="21"/>
      <c r="V17" s="21"/>
    </row>
    <row r="18" spans="1:22" ht="12" customHeight="1">
      <c r="A18" s="1">
        <f t="shared" si="0"/>
        <v>2011</v>
      </c>
      <c r="B18" s="21"/>
      <c r="C18" s="21"/>
      <c r="D18" s="21"/>
      <c r="E18" s="21"/>
      <c r="F18" s="21"/>
      <c r="G18" s="21"/>
      <c r="H18" s="21"/>
      <c r="I18" s="21">
        <v>1.03</v>
      </c>
      <c r="J18" s="21">
        <v>1.0189999999999999</v>
      </c>
      <c r="K18" s="21">
        <v>1.016</v>
      </c>
      <c r="L18" s="21"/>
      <c r="M18" s="21"/>
      <c r="N18" s="21"/>
      <c r="O18" s="21"/>
      <c r="P18" s="21"/>
      <c r="Q18" s="21"/>
      <c r="R18" s="21"/>
      <c r="S18" s="21"/>
      <c r="T18" s="21"/>
      <c r="U18" s="21"/>
      <c r="V18" s="21"/>
    </row>
    <row r="19" spans="1:22" ht="12" customHeight="1">
      <c r="A19" s="1">
        <f t="shared" si="0"/>
        <v>2012</v>
      </c>
      <c r="B19" s="21"/>
      <c r="C19" s="21"/>
      <c r="D19" s="21"/>
      <c r="E19" s="21"/>
      <c r="F19" s="21"/>
      <c r="G19" s="21"/>
      <c r="H19" s="21">
        <v>1.0409999999999999</v>
      </c>
      <c r="I19" s="21">
        <v>1.0249999999999999</v>
      </c>
      <c r="J19" s="21">
        <v>1.02</v>
      </c>
      <c r="K19" s="21"/>
      <c r="L19" s="21"/>
      <c r="M19" s="21"/>
      <c r="N19" s="21"/>
      <c r="O19" s="21"/>
      <c r="P19" s="21"/>
      <c r="Q19" s="21"/>
      <c r="R19" s="21"/>
      <c r="S19" s="21"/>
      <c r="T19" s="21"/>
      <c r="U19" s="21"/>
      <c r="V19" s="21"/>
    </row>
    <row r="20" spans="1:22" ht="12" customHeight="1">
      <c r="A20" s="1">
        <f t="shared" si="0"/>
        <v>2013</v>
      </c>
      <c r="B20" s="21"/>
      <c r="C20" s="21"/>
      <c r="D20" s="21"/>
      <c r="E20" s="21"/>
      <c r="F20" s="21"/>
      <c r="G20" s="21">
        <v>1.0509999999999999</v>
      </c>
      <c r="H20" s="21">
        <v>1.03</v>
      </c>
      <c r="I20" s="21">
        <v>1.022</v>
      </c>
      <c r="J20" s="21"/>
      <c r="K20" s="21"/>
      <c r="L20" s="21"/>
      <c r="M20" s="21"/>
      <c r="N20" s="21"/>
      <c r="O20" s="21"/>
      <c r="P20" s="21"/>
      <c r="Q20" s="21"/>
      <c r="R20" s="21"/>
      <c r="S20" s="21"/>
      <c r="T20" s="21"/>
      <c r="U20" s="21"/>
      <c r="V20" s="21"/>
    </row>
    <row r="21" spans="1:22" ht="12" customHeight="1">
      <c r="A21" s="1">
        <f t="shared" si="0"/>
        <v>2014</v>
      </c>
      <c r="B21" s="21"/>
      <c r="C21" s="21"/>
      <c r="D21" s="21"/>
      <c r="E21" s="21"/>
      <c r="F21" s="21">
        <v>1.079</v>
      </c>
      <c r="G21" s="21">
        <v>1.0449999999999999</v>
      </c>
      <c r="H21" s="21">
        <v>1.0329999999999999</v>
      </c>
      <c r="I21" s="21"/>
      <c r="J21" s="21"/>
      <c r="K21" s="21"/>
      <c r="L21" s="21"/>
      <c r="M21" s="21"/>
      <c r="N21" s="21"/>
      <c r="O21" s="21"/>
      <c r="P21" s="21"/>
      <c r="Q21" s="21"/>
      <c r="R21" s="21"/>
      <c r="S21" s="21"/>
      <c r="T21" s="21"/>
      <c r="U21" s="21"/>
      <c r="V21" s="21"/>
    </row>
    <row r="22" spans="1:22" ht="12" customHeight="1">
      <c r="A22" s="1">
        <f t="shared" si="0"/>
        <v>2015</v>
      </c>
      <c r="B22" s="21"/>
      <c r="C22" s="21"/>
      <c r="D22" s="21"/>
      <c r="E22" s="21">
        <v>1.1140000000000001</v>
      </c>
      <c r="F22" s="21">
        <v>1.0640000000000001</v>
      </c>
      <c r="G22" s="21">
        <v>1.044</v>
      </c>
      <c r="H22" s="21"/>
      <c r="I22" s="21"/>
      <c r="J22" s="21"/>
      <c r="K22" s="21"/>
      <c r="L22" s="21"/>
      <c r="M22" s="21"/>
      <c r="N22" s="21"/>
      <c r="O22" s="21"/>
      <c r="P22" s="21"/>
      <c r="Q22" s="21"/>
      <c r="R22" s="21"/>
      <c r="S22" s="21"/>
      <c r="T22" s="21"/>
      <c r="U22" s="21"/>
      <c r="V22" s="21"/>
    </row>
    <row r="23" spans="1:22" ht="12" customHeight="1">
      <c r="A23" s="1">
        <f t="shared" si="0"/>
        <v>2016</v>
      </c>
      <c r="B23" s="21"/>
      <c r="C23" s="21"/>
      <c r="D23" s="21">
        <v>1.2010000000000001</v>
      </c>
      <c r="E23" s="21">
        <v>1.101</v>
      </c>
      <c r="F23" s="21">
        <v>1.0629999999999999</v>
      </c>
      <c r="G23" s="21"/>
      <c r="H23" s="21"/>
      <c r="I23" s="21"/>
      <c r="J23" s="21"/>
      <c r="K23" s="21"/>
      <c r="L23" s="21"/>
      <c r="M23" s="21"/>
      <c r="N23" s="21"/>
      <c r="O23" s="21"/>
      <c r="P23" s="21"/>
      <c r="Q23" s="21"/>
      <c r="R23" s="21"/>
      <c r="S23" s="21"/>
      <c r="T23" s="21"/>
      <c r="U23" s="21"/>
      <c r="V23" s="21"/>
    </row>
    <row r="24" spans="1:22" ht="12" customHeight="1">
      <c r="A24" s="1">
        <f t="shared" si="0"/>
        <v>2017</v>
      </c>
      <c r="B24" s="21"/>
      <c r="C24" s="21">
        <v>1.4</v>
      </c>
      <c r="D24" s="21">
        <v>1.18</v>
      </c>
      <c r="E24" s="21">
        <v>1.101</v>
      </c>
      <c r="F24" s="21"/>
      <c r="G24" s="21"/>
      <c r="H24" s="21"/>
      <c r="I24" s="21"/>
      <c r="J24" s="21"/>
      <c r="K24" s="21"/>
      <c r="L24" s="21"/>
      <c r="M24" s="21"/>
      <c r="N24" s="21"/>
      <c r="O24" s="21"/>
      <c r="P24" s="21"/>
      <c r="Q24" s="21"/>
      <c r="R24" s="21"/>
      <c r="S24" s="21"/>
      <c r="T24" s="21"/>
      <c r="U24" s="21"/>
      <c r="V24" s="21"/>
    </row>
    <row r="25" spans="1:22" ht="12" customHeight="1">
      <c r="A25" s="1">
        <f t="shared" si="0"/>
        <v>2018</v>
      </c>
      <c r="B25" s="21">
        <v>2.391</v>
      </c>
      <c r="C25" s="21">
        <v>1.385</v>
      </c>
      <c r="D25" s="21">
        <v>1.1919999999999999</v>
      </c>
      <c r="E25" s="21"/>
      <c r="F25" s="21"/>
      <c r="G25" s="21"/>
      <c r="H25" s="21"/>
      <c r="I25" s="21"/>
      <c r="J25" s="21"/>
      <c r="K25" s="21"/>
      <c r="L25" s="21"/>
      <c r="M25" s="21"/>
      <c r="N25" s="21"/>
      <c r="O25" s="21"/>
      <c r="P25" s="21"/>
      <c r="Q25" s="21"/>
      <c r="R25" s="21"/>
      <c r="S25" s="21"/>
      <c r="T25" s="21"/>
      <c r="U25" s="21"/>
      <c r="V25" s="21"/>
    </row>
    <row r="26" spans="1:22" ht="12" customHeight="1">
      <c r="A26" s="1">
        <f>A27-1</f>
        <v>2019</v>
      </c>
      <c r="B26" s="21">
        <v>2.36</v>
      </c>
      <c r="C26" s="21">
        <v>1.42</v>
      </c>
      <c r="D26" s="21"/>
      <c r="E26" s="21"/>
      <c r="F26" s="21"/>
      <c r="G26" s="21"/>
      <c r="H26" s="21"/>
      <c r="I26" s="21"/>
      <c r="J26" s="21"/>
      <c r="K26" s="21"/>
      <c r="L26" s="21"/>
      <c r="M26" s="21"/>
      <c r="N26" s="21"/>
      <c r="O26" s="21"/>
      <c r="P26" s="21"/>
      <c r="Q26" s="21"/>
      <c r="R26" s="21"/>
      <c r="S26" s="21"/>
      <c r="T26" s="21"/>
      <c r="U26" s="21"/>
      <c r="V26" s="21"/>
    </row>
    <row r="27" spans="1:22" s="159" customFormat="1" ht="12" customHeight="1">
      <c r="A27" s="1">
        <f>'Exhibit 2.5.1'!A30</f>
        <v>2020</v>
      </c>
      <c r="B27" s="21">
        <v>2.4660000000000002</v>
      </c>
      <c r="C27" s="21"/>
      <c r="D27" s="21"/>
      <c r="E27" s="21"/>
      <c r="F27" s="21"/>
      <c r="G27" s="21"/>
      <c r="H27" s="21"/>
      <c r="I27" s="21"/>
      <c r="J27" s="21"/>
      <c r="K27" s="21"/>
      <c r="L27" s="21"/>
      <c r="M27" s="21"/>
      <c r="N27" s="21"/>
      <c r="O27" s="21"/>
      <c r="P27" s="21"/>
      <c r="Q27" s="21"/>
      <c r="R27" s="21"/>
      <c r="S27" s="21"/>
      <c r="T27" s="21"/>
      <c r="U27" s="21"/>
      <c r="V27" s="21"/>
    </row>
    <row r="28" spans="1:22" s="135" customFormat="1" ht="12" customHeight="1">
      <c r="A28" s="1"/>
      <c r="B28" s="1"/>
      <c r="C28" s="16"/>
      <c r="D28" s="17"/>
      <c r="E28" s="17"/>
      <c r="F28" s="17"/>
      <c r="G28" s="17"/>
      <c r="H28" s="17"/>
      <c r="I28" s="17"/>
      <c r="J28" s="17"/>
      <c r="K28" s="17"/>
      <c r="L28" s="16"/>
      <c r="M28" s="17"/>
      <c r="N28" s="17"/>
      <c r="O28" s="17"/>
      <c r="P28" s="17"/>
      <c r="Q28" s="17"/>
      <c r="R28" s="17"/>
      <c r="S28" s="17"/>
      <c r="T28" s="17"/>
      <c r="U28" s="17"/>
      <c r="V28" s="17"/>
    </row>
    <row r="29" spans="1:22" ht="12" customHeight="1">
      <c r="A29" s="1" t="s">
        <v>36</v>
      </c>
      <c r="B29" s="16" t="str">
        <f t="shared" ref="B29:F29" si="1">TEXT(INDEX($B$47:$G$47,MATCH(B$4,$B$48:$G$48,0)),"0.000")&amp;"(d)"</f>
        <v>2.464(d)</v>
      </c>
      <c r="C29" s="16" t="str">
        <f t="shared" si="1"/>
        <v>1.429(d)</v>
      </c>
      <c r="D29" s="16" t="str">
        <f t="shared" si="1"/>
        <v>1.213(d)</v>
      </c>
      <c r="E29" s="16" t="str">
        <f t="shared" si="1"/>
        <v>1.109(d)</v>
      </c>
      <c r="F29" s="16" t="str">
        <f t="shared" si="1"/>
        <v>1.063(d)</v>
      </c>
      <c r="G29" s="16" t="str">
        <f>TEXT(INDEX($B$47:$G$47,MATCH(G$4,$B$48:$G$48,0)),"0.000")&amp;"(d)"</f>
        <v>1.042(d)</v>
      </c>
      <c r="H29" s="374">
        <f>H21</f>
        <v>1.0329999999999999</v>
      </c>
      <c r="I29" s="374">
        <f>I20</f>
        <v>1.022</v>
      </c>
      <c r="J29" s="374">
        <f>AVERAGE(J17:J19)</f>
        <v>1.0216666666666667</v>
      </c>
      <c r="K29" s="374">
        <f>AVERAGE(K16:K18)</f>
        <v>1.0186666666666666</v>
      </c>
      <c r="L29" s="374">
        <f>AVERAGE(L15:L17)</f>
        <v>1.0153333333333334</v>
      </c>
      <c r="M29" s="374">
        <f>AVERAGE(M14:M16)</f>
        <v>1.0146666666666666</v>
      </c>
      <c r="N29" s="374">
        <f>AVERAGE(N13:N15)</f>
        <v>1.0133333333333334</v>
      </c>
      <c r="O29" s="374">
        <f>AVERAGE(O12:O14)</f>
        <v>1.0126666666666668</v>
      </c>
      <c r="P29" s="374">
        <f>AVERAGE(P11:P13)</f>
        <v>1.0126666666666668</v>
      </c>
      <c r="Q29" s="374">
        <f>AVERAGE(Q10:Q12)</f>
        <v>1.0096666666666667</v>
      </c>
      <c r="R29" s="374">
        <f>AVERAGE(R9:R11)</f>
        <v>1.01</v>
      </c>
      <c r="S29" s="374">
        <f>AVERAGE(S8:S10)</f>
        <v>1.0096666666666665</v>
      </c>
      <c r="T29" s="374">
        <f>AVERAGE(T7:T9)</f>
        <v>1.008</v>
      </c>
      <c r="U29" s="374">
        <f>AVERAGE(U6:U8)</f>
        <v>1.0069999999999999</v>
      </c>
      <c r="V29" s="374">
        <f>AVERAGE(V5:V7)</f>
        <v>1.0073333333333334</v>
      </c>
    </row>
    <row r="30" spans="1:22" s="223" customFormat="1" ht="12" customHeight="1">
      <c r="A30" s="1"/>
      <c r="B30" s="16"/>
      <c r="C30" s="16"/>
      <c r="D30" s="16"/>
      <c r="E30" s="16"/>
      <c r="F30" s="16"/>
      <c r="G30" s="16"/>
      <c r="H30" s="16"/>
      <c r="I30" s="16"/>
      <c r="J30" s="16"/>
      <c r="K30" s="16"/>
      <c r="L30" s="16"/>
      <c r="M30" s="16"/>
      <c r="N30" s="16"/>
      <c r="O30" s="16"/>
      <c r="P30" s="16"/>
      <c r="Q30" s="16"/>
      <c r="R30" s="16"/>
      <c r="S30" s="16"/>
      <c r="T30" s="16"/>
      <c r="U30" s="16"/>
      <c r="V30" s="16"/>
    </row>
    <row r="31" spans="1:22" s="223" customFormat="1" ht="12" customHeight="1">
      <c r="A31" s="22" t="s">
        <v>317</v>
      </c>
      <c r="B31" s="16"/>
      <c r="C31" s="16"/>
      <c r="D31" s="16"/>
      <c r="E31" s="16"/>
      <c r="F31" s="16"/>
      <c r="G31" s="16"/>
      <c r="H31" s="16"/>
      <c r="I31" s="16"/>
      <c r="J31" s="16"/>
      <c r="K31" s="16"/>
      <c r="L31" s="16"/>
      <c r="M31" s="16"/>
      <c r="N31" s="16"/>
      <c r="O31" s="16"/>
      <c r="P31" s="16"/>
      <c r="Q31" s="16"/>
      <c r="R31" s="16"/>
      <c r="S31" s="16"/>
      <c r="T31" s="16"/>
      <c r="U31" s="16"/>
      <c r="V31" s="16"/>
    </row>
    <row r="32" spans="1:22" s="223" customFormat="1" ht="12" customHeight="1">
      <c r="A32" s="22" t="s">
        <v>316</v>
      </c>
      <c r="B32" s="374">
        <f t="shared" ref="B32:G32" si="2">B47*C32</f>
        <v>7.1704224650462551</v>
      </c>
      <c r="C32" s="374">
        <f t="shared" si="2"/>
        <v>2.909989478219086</v>
      </c>
      <c r="D32" s="374">
        <f t="shared" si="2"/>
        <v>2.0368024077385019</v>
      </c>
      <c r="E32" s="374">
        <f t="shared" si="2"/>
        <v>1.6795745328570189</v>
      </c>
      <c r="F32" s="374">
        <f t="shared" si="2"/>
        <v>1.5148610859234359</v>
      </c>
      <c r="G32" s="374">
        <f t="shared" si="2"/>
        <v>1.4254717315523993</v>
      </c>
      <c r="H32" s="374">
        <f t="shared" ref="H32:S32" si="3">H29*I32</f>
        <v>1.3677215159006273</v>
      </c>
      <c r="I32" s="374">
        <f t="shared" si="3"/>
        <v>1.3240285729918948</v>
      </c>
      <c r="J32" s="374">
        <f t="shared" si="3"/>
        <v>1.295526979444124</v>
      </c>
      <c r="K32" s="374">
        <f t="shared" si="3"/>
        <v>1.26805250842818</v>
      </c>
      <c r="L32" s="374">
        <f t="shared" si="3"/>
        <v>1.2448159441376112</v>
      </c>
      <c r="M32" s="374">
        <f t="shared" si="3"/>
        <v>1.2260170165505033</v>
      </c>
      <c r="N32" s="374">
        <f t="shared" si="3"/>
        <v>1.2082953513966854</v>
      </c>
      <c r="O32" s="374">
        <f t="shared" si="3"/>
        <v>1.1923967283519921</v>
      </c>
      <c r="P32" s="374">
        <f t="shared" si="3"/>
        <v>1.1774819568979511</v>
      </c>
      <c r="Q32" s="374">
        <f t="shared" si="3"/>
        <v>1.162753742822203</v>
      </c>
      <c r="R32" s="374">
        <f t="shared" si="3"/>
        <v>1.1516214025970977</v>
      </c>
      <c r="S32" s="374">
        <f t="shared" si="3"/>
        <v>1.140219210492176</v>
      </c>
      <c r="T32" s="374">
        <f>T29*U32</f>
        <v>1.1293026185132151</v>
      </c>
      <c r="U32" s="374">
        <f>U29*V32</f>
        <v>1.1203398993186657</v>
      </c>
      <c r="V32" s="16">
        <f>'Exhibit 2.6.2'!B26*'Exhibit 2.6.1'!V29</f>
        <v>1.1125520350731537</v>
      </c>
    </row>
    <row r="33" spans="1:22" s="223" customFormat="1" ht="12" customHeight="1">
      <c r="A33" s="17"/>
      <c r="B33" s="16"/>
      <c r="C33" s="16"/>
      <c r="D33" s="16"/>
      <c r="E33" s="16"/>
      <c r="F33" s="16"/>
      <c r="G33" s="16"/>
      <c r="H33" s="16"/>
      <c r="I33" s="16"/>
      <c r="J33" s="16"/>
      <c r="K33" s="16"/>
      <c r="L33" s="16"/>
      <c r="M33" s="16"/>
      <c r="N33" s="16"/>
      <c r="O33" s="16"/>
      <c r="P33" s="16"/>
      <c r="Q33" s="16"/>
      <c r="R33" s="16"/>
      <c r="S33" s="16"/>
      <c r="T33" s="16"/>
      <c r="U33" s="16"/>
      <c r="V33" s="16"/>
    </row>
    <row r="34" spans="1:22" s="223" customFormat="1" ht="12" customHeight="1">
      <c r="A34" s="22" t="s">
        <v>315</v>
      </c>
      <c r="B34" s="16"/>
      <c r="C34" s="16"/>
      <c r="D34" s="16"/>
      <c r="E34" s="16"/>
      <c r="F34" s="16"/>
      <c r="G34" s="16"/>
      <c r="H34" s="16"/>
      <c r="I34" s="16"/>
      <c r="J34" s="16"/>
      <c r="K34" s="16"/>
      <c r="L34" s="16"/>
      <c r="M34" s="16"/>
      <c r="N34" s="16"/>
      <c r="O34" s="16"/>
      <c r="P34" s="16"/>
      <c r="Q34" s="16"/>
      <c r="R34" s="16"/>
      <c r="S34" s="16"/>
      <c r="T34" s="16"/>
      <c r="U34" s="16"/>
      <c r="V34" s="16"/>
    </row>
    <row r="35" spans="1:22" ht="14.45" customHeight="1">
      <c r="A35" s="22" t="s">
        <v>375</v>
      </c>
      <c r="B35" s="374">
        <f>B32*C52</f>
        <v>7.0292483595200279</v>
      </c>
      <c r="C35" s="374">
        <f>C32*C53</f>
        <v>2.8526964576640328</v>
      </c>
      <c r="D35" s="374">
        <f>D32*C54</f>
        <v>1.996701038614459</v>
      </c>
      <c r="E35" s="374">
        <f>E32*C55</f>
        <v>1.6465064070253017</v>
      </c>
      <c r="F35" s="374">
        <f>C56*F32</f>
        <v>1.4850359033983849</v>
      </c>
      <c r="G35" s="374">
        <f>G32*C57</f>
        <v>1.4094513302836391</v>
      </c>
      <c r="H35" s="297" t="s">
        <v>32</v>
      </c>
      <c r="I35" s="297" t="s">
        <v>32</v>
      </c>
      <c r="J35" s="297" t="s">
        <v>32</v>
      </c>
      <c r="K35" s="297" t="s">
        <v>32</v>
      </c>
      <c r="L35" s="297" t="s">
        <v>32</v>
      </c>
      <c r="M35" s="297" t="s">
        <v>32</v>
      </c>
      <c r="N35" s="297" t="s">
        <v>32</v>
      </c>
      <c r="O35" s="297" t="s">
        <v>32</v>
      </c>
      <c r="P35" s="297" t="s">
        <v>32</v>
      </c>
      <c r="Q35" s="297" t="s">
        <v>32</v>
      </c>
      <c r="R35" s="297" t="s">
        <v>32</v>
      </c>
      <c r="S35" s="297" t="s">
        <v>32</v>
      </c>
      <c r="T35" s="297" t="s">
        <v>32</v>
      </c>
      <c r="U35" s="297" t="s">
        <v>32</v>
      </c>
      <c r="V35" s="297" t="s">
        <v>32</v>
      </c>
    </row>
    <row r="36" spans="1:22" ht="4.9000000000000004" customHeight="1">
      <c r="A36" s="22"/>
      <c r="B36" s="22"/>
      <c r="C36" s="16"/>
      <c r="D36" s="16"/>
      <c r="E36" s="16"/>
      <c r="F36" s="16"/>
      <c r="G36" s="16"/>
      <c r="H36" s="16"/>
      <c r="I36" s="16"/>
      <c r="J36" s="16"/>
      <c r="K36" s="16"/>
      <c r="L36" s="16"/>
      <c r="M36" s="16"/>
      <c r="N36" s="16"/>
      <c r="O36" s="16"/>
      <c r="P36" s="16"/>
      <c r="Q36" s="16"/>
      <c r="R36" s="16"/>
      <c r="S36" s="16"/>
      <c r="T36" s="17"/>
      <c r="U36" s="17"/>
      <c r="V36" s="17"/>
    </row>
    <row r="37" spans="1:22" ht="6" customHeight="1">
      <c r="A37" s="22"/>
      <c r="B37" s="22"/>
      <c r="C37" s="16"/>
      <c r="D37" s="16"/>
      <c r="E37" s="16"/>
      <c r="F37" s="16"/>
      <c r="G37" s="16"/>
      <c r="H37" s="16"/>
      <c r="I37" s="16"/>
      <c r="J37" s="16"/>
      <c r="K37" s="16"/>
      <c r="L37" s="16"/>
      <c r="M37" s="16"/>
      <c r="N37" s="16"/>
      <c r="O37" s="16"/>
      <c r="P37" s="16"/>
      <c r="Q37" s="16"/>
      <c r="R37" s="16"/>
      <c r="S37" s="16"/>
      <c r="T37" s="17"/>
      <c r="U37" s="17"/>
      <c r="V37" s="17"/>
    </row>
    <row r="38" spans="1:22" ht="6" customHeight="1">
      <c r="A38" s="22"/>
      <c r="B38" s="22"/>
      <c r="C38" s="16"/>
      <c r="D38" s="16"/>
      <c r="E38" s="16"/>
      <c r="F38" s="16"/>
      <c r="G38" s="16"/>
      <c r="H38" s="16"/>
      <c r="I38" s="16"/>
      <c r="J38" s="16"/>
      <c r="K38" s="16"/>
      <c r="L38" s="16"/>
      <c r="M38" s="16"/>
      <c r="N38" s="16"/>
      <c r="O38" s="16"/>
      <c r="P38" s="16"/>
      <c r="Q38" s="17"/>
      <c r="R38" s="17"/>
      <c r="S38" s="17"/>
      <c r="T38" s="17"/>
      <c r="U38" s="17"/>
      <c r="V38" s="17"/>
    </row>
    <row r="39" spans="1:22">
      <c r="A39" s="24" t="s">
        <v>37</v>
      </c>
      <c r="B39" s="527" t="s">
        <v>288</v>
      </c>
      <c r="C39" s="527"/>
      <c r="D39" s="527"/>
      <c r="E39" s="527"/>
      <c r="F39" s="527"/>
      <c r="G39" s="527"/>
      <c r="H39" s="527"/>
      <c r="I39" s="527"/>
      <c r="J39" s="527"/>
      <c r="K39" s="527"/>
      <c r="L39" s="527"/>
      <c r="M39" s="527"/>
      <c r="N39" s="527"/>
      <c r="O39" s="527"/>
      <c r="P39" s="527"/>
      <c r="Q39" s="527"/>
      <c r="R39" s="527"/>
      <c r="S39" s="527"/>
      <c r="T39" s="17"/>
      <c r="U39" s="17"/>
      <c r="V39" s="17"/>
    </row>
    <row r="40" spans="1:22" ht="26.1" customHeight="1">
      <c r="A40" s="24" t="s">
        <v>25</v>
      </c>
      <c r="B40" s="523" t="s">
        <v>522</v>
      </c>
      <c r="C40" s="523"/>
      <c r="D40" s="523"/>
      <c r="E40" s="523"/>
      <c r="F40" s="523"/>
      <c r="G40" s="523"/>
      <c r="H40" s="523"/>
      <c r="I40" s="523"/>
      <c r="J40" s="523"/>
      <c r="K40" s="523"/>
      <c r="L40" s="523"/>
      <c r="M40" s="523"/>
      <c r="N40" s="523"/>
      <c r="O40" s="523"/>
      <c r="P40" s="523"/>
      <c r="Q40" s="523"/>
      <c r="R40" s="523"/>
      <c r="S40" s="523"/>
      <c r="T40" s="523"/>
      <c r="U40" s="523"/>
      <c r="V40" s="523"/>
    </row>
    <row r="41" spans="1:22" ht="12.75" customHeight="1">
      <c r="A41" s="24" t="s">
        <v>26</v>
      </c>
      <c r="B41" s="523" t="s">
        <v>518</v>
      </c>
      <c r="C41" s="523"/>
      <c r="D41" s="523"/>
      <c r="E41" s="523"/>
      <c r="F41" s="523"/>
      <c r="G41" s="523"/>
      <c r="H41" s="523"/>
      <c r="I41" s="523"/>
      <c r="J41" s="523"/>
      <c r="K41" s="523"/>
      <c r="L41" s="523"/>
      <c r="M41" s="523"/>
      <c r="N41" s="523"/>
      <c r="O41" s="523"/>
      <c r="P41" s="523"/>
      <c r="Q41" s="523"/>
      <c r="R41" s="523"/>
      <c r="S41" s="523"/>
      <c r="T41" s="523"/>
      <c r="U41" s="523"/>
      <c r="V41" s="523"/>
    </row>
    <row r="42" spans="1:22" ht="12.75" customHeight="1">
      <c r="A42" s="24" t="s">
        <v>30</v>
      </c>
      <c r="B42" s="524" t="s">
        <v>523</v>
      </c>
      <c r="C42" s="524"/>
      <c r="D42" s="524"/>
      <c r="E42" s="524"/>
      <c r="F42" s="524"/>
      <c r="G42" s="524"/>
      <c r="H42" s="524"/>
      <c r="I42" s="524"/>
      <c r="J42" s="524"/>
      <c r="K42" s="524"/>
      <c r="L42" s="524"/>
      <c r="M42" s="524"/>
      <c r="N42" s="524"/>
      <c r="O42" s="524"/>
      <c r="P42" s="524"/>
      <c r="Q42" s="524"/>
      <c r="R42" s="524"/>
      <c r="S42" s="524"/>
      <c r="T42" s="524"/>
      <c r="U42" s="524"/>
      <c r="V42" s="524"/>
    </row>
    <row r="43" spans="1:22" s="306" customFormat="1" ht="12.75" customHeight="1">
      <c r="A43" s="24"/>
      <c r="B43" s="524"/>
      <c r="C43" s="524"/>
      <c r="D43" s="524"/>
      <c r="E43" s="524"/>
      <c r="F43" s="524"/>
      <c r="G43" s="524"/>
      <c r="H43" s="524"/>
      <c r="I43" s="524"/>
      <c r="J43" s="524"/>
      <c r="K43" s="524"/>
      <c r="L43" s="524"/>
      <c r="M43" s="524"/>
      <c r="N43" s="524"/>
      <c r="O43" s="524"/>
      <c r="P43" s="524"/>
      <c r="Q43" s="524"/>
      <c r="R43" s="524"/>
      <c r="S43" s="524"/>
      <c r="T43" s="524"/>
      <c r="U43" s="524"/>
      <c r="V43" s="524"/>
    </row>
    <row r="44" spans="1:22" s="138" customFormat="1" ht="12.75" customHeight="1">
      <c r="A44" s="24" t="s">
        <v>39</v>
      </c>
      <c r="B44" s="152" t="s">
        <v>515</v>
      </c>
      <c r="C44" s="152"/>
      <c r="D44" s="152"/>
      <c r="E44" s="152"/>
      <c r="F44" s="152"/>
      <c r="G44" s="152"/>
      <c r="H44" s="152"/>
      <c r="I44" s="152"/>
      <c r="J44" s="152"/>
      <c r="K44" s="152"/>
      <c r="L44" s="152"/>
      <c r="M44" s="152"/>
      <c r="N44" s="152"/>
      <c r="O44" s="152"/>
      <c r="P44" s="152"/>
      <c r="Q44" s="152"/>
      <c r="R44" s="152"/>
      <c r="S44" s="152"/>
      <c r="T44" s="152"/>
      <c r="U44" s="152"/>
      <c r="V44" s="152"/>
    </row>
    <row r="45" spans="1:22" ht="12.75" customHeight="1">
      <c r="A45" s="334"/>
      <c r="B45" s="16"/>
      <c r="C45" s="16"/>
      <c r="D45" s="16"/>
      <c r="E45" s="16"/>
      <c r="F45" s="16"/>
      <c r="G45" s="16"/>
      <c r="H45" s="17"/>
      <c r="I45" s="17"/>
      <c r="J45" s="17"/>
      <c r="K45" s="17"/>
      <c r="L45" s="17"/>
      <c r="M45" s="17"/>
      <c r="N45" s="17"/>
      <c r="O45" s="17"/>
      <c r="P45" s="17"/>
      <c r="Q45" s="17"/>
      <c r="R45" s="17"/>
      <c r="S45" s="17"/>
      <c r="T45" s="17"/>
      <c r="U45" s="17"/>
      <c r="V45" s="17"/>
    </row>
    <row r="46" spans="1:22">
      <c r="A46" s="44"/>
      <c r="B46" s="16" t="str">
        <f>'Exhibits 2.6.3 - 2.6.8'!D$330</f>
        <v>12-24</v>
      </c>
      <c r="C46" s="16" t="str">
        <f>'Exhibits 2.6.3 - 2.6.8'!E$330</f>
        <v>24-36</v>
      </c>
      <c r="D46" s="16" t="str">
        <f>'Exhibits 2.6.3 - 2.6.8'!F$330</f>
        <v>36-48</v>
      </c>
      <c r="E46" s="16" t="str">
        <f>'Exhibits 2.6.3 - 2.6.8'!G$330</f>
        <v>48-60</v>
      </c>
      <c r="F46" s="16" t="str">
        <f>'Exhibits 2.6.3 - 2.6.8'!H$330</f>
        <v>60-72</v>
      </c>
      <c r="G46" s="16" t="str">
        <f>'Exhibits 2.6.3 - 2.6.8'!I$330</f>
        <v>72-84</v>
      </c>
      <c r="H46" s="17"/>
      <c r="I46" s="17"/>
      <c r="J46" s="17"/>
      <c r="K46" s="17"/>
      <c r="L46" s="17"/>
      <c r="M46" s="17"/>
      <c r="N46" s="17"/>
      <c r="O46" s="17"/>
      <c r="P46" s="17"/>
      <c r="Q46" s="17"/>
      <c r="R46" s="17"/>
      <c r="S46" s="17"/>
      <c r="T46" s="17"/>
      <c r="U46" s="17"/>
      <c r="V46" s="17"/>
    </row>
    <row r="47" spans="1:22">
      <c r="A47" s="335" t="str">
        <f>'Exhibits 2.6.3 - 2.6.8'!C$341</f>
        <v>Latest Year</v>
      </c>
      <c r="B47" s="16">
        <f>'Exhibits 2.6.3 - 2.6.8'!D$341</f>
        <v>2.4640716121882869</v>
      </c>
      <c r="C47" s="16">
        <f>'Exhibits 2.6.3 - 2.6.8'!E$341</f>
        <v>1.4287048498975898</v>
      </c>
      <c r="D47" s="16">
        <f>'Exhibits 2.6.3 - 2.6.8'!F$341</f>
        <v>1.2126895043316863</v>
      </c>
      <c r="E47" s="16">
        <f>'Exhibits 2.6.3 - 2.6.8'!G$341</f>
        <v>1.1087317170294702</v>
      </c>
      <c r="F47" s="16">
        <f>'Exhibits 2.6.3 - 2.6.8'!H$341</f>
        <v>1.0627086124490788</v>
      </c>
      <c r="G47" s="16">
        <f>'Exhibits 2.6.3 - 2.6.8'!I$341</f>
        <v>1.0422236654029269</v>
      </c>
      <c r="H47" s="17"/>
      <c r="I47" s="17"/>
      <c r="J47" s="17"/>
      <c r="K47" s="17"/>
      <c r="L47" s="17"/>
      <c r="M47" s="17"/>
      <c r="N47" s="17"/>
      <c r="O47" s="17"/>
      <c r="P47" s="17"/>
      <c r="Q47" s="17"/>
      <c r="R47" s="17"/>
      <c r="S47" s="17"/>
      <c r="T47" s="17"/>
      <c r="U47" s="17"/>
      <c r="V47" s="17"/>
    </row>
    <row r="48" spans="1:22">
      <c r="A48" s="44"/>
      <c r="B48" s="44" t="str">
        <f t="shared" ref="B48:G48" si="4">RIGHT(B46,2)&amp;"/"&amp;LEFT(B46,FIND("-",B46)-1)</f>
        <v>24/12</v>
      </c>
      <c r="C48" s="44" t="str">
        <f t="shared" si="4"/>
        <v>36/24</v>
      </c>
      <c r="D48" s="44" t="str">
        <f t="shared" si="4"/>
        <v>48/36</v>
      </c>
      <c r="E48" s="44" t="str">
        <f t="shared" si="4"/>
        <v>60/48</v>
      </c>
      <c r="F48" s="44" t="str">
        <f t="shared" si="4"/>
        <v>72/60</v>
      </c>
      <c r="G48" s="44" t="str">
        <f t="shared" si="4"/>
        <v>84/72</v>
      </c>
      <c r="H48" s="17"/>
      <c r="I48" s="17"/>
      <c r="J48" s="17"/>
      <c r="K48" s="17"/>
      <c r="L48" s="17"/>
      <c r="M48" s="17"/>
      <c r="N48" s="17"/>
      <c r="O48" s="17"/>
      <c r="P48" s="17"/>
      <c r="Q48" s="17"/>
      <c r="R48" s="17"/>
      <c r="S48" s="17"/>
      <c r="T48" s="17"/>
      <c r="U48" s="17"/>
      <c r="V48" s="17"/>
    </row>
    <row r="49" spans="1:22">
      <c r="A49" s="347" t="s">
        <v>436</v>
      </c>
      <c r="B49" s="347"/>
      <c r="C49" s="347"/>
      <c r="D49" s="336"/>
      <c r="E49" s="336"/>
      <c r="F49" s="336"/>
      <c r="G49" s="336"/>
      <c r="H49" s="17"/>
      <c r="I49" s="17"/>
      <c r="J49" s="17"/>
      <c r="K49" s="17"/>
      <c r="L49" s="17"/>
      <c r="M49" s="17"/>
      <c r="N49" s="17"/>
      <c r="O49" s="17"/>
      <c r="P49" s="17"/>
      <c r="Q49" s="17"/>
      <c r="R49" s="17"/>
      <c r="S49" s="17"/>
      <c r="T49" s="17"/>
      <c r="U49" s="17"/>
      <c r="V49" s="17"/>
    </row>
    <row r="50" spans="1:22">
      <c r="A50" s="433"/>
      <c r="B50" s="129" t="s">
        <v>437</v>
      </c>
      <c r="C50" s="434"/>
    </row>
    <row r="51" spans="1:22">
      <c r="A51" s="439" t="s">
        <v>181</v>
      </c>
      <c r="B51" s="109" t="s">
        <v>242</v>
      </c>
      <c r="C51" s="440" t="s">
        <v>241</v>
      </c>
    </row>
    <row r="52" spans="1:22">
      <c r="A52" s="441">
        <f>'Exhibit 2.4.1'!A69</f>
        <v>2021</v>
      </c>
      <c r="B52" s="485">
        <f>'Exhibit 2.4.1'!B69</f>
        <v>-1.9688394402758047E-2</v>
      </c>
      <c r="C52" s="442">
        <f>'Exhibit 2.4.1'!C69</f>
        <v>0.98031160559724195</v>
      </c>
    </row>
    <row r="53" spans="1:22">
      <c r="A53" s="435">
        <f>'Exhibit 2.4.1'!A70</f>
        <v>2020</v>
      </c>
      <c r="B53" s="486">
        <f>'Exhibit 2.4.1'!B70</f>
        <v>-1.9688394402758047E-2</v>
      </c>
      <c r="C53" s="436">
        <f>'Exhibit 2.4.1'!C70</f>
        <v>0.98031160559724195</v>
      </c>
    </row>
    <row r="54" spans="1:22">
      <c r="A54" s="435">
        <f>'Exhibit 2.4.1'!A71</f>
        <v>2019</v>
      </c>
      <c r="B54" s="486">
        <f>'Exhibit 2.4.1'!B71</f>
        <v>-1.9688394402758047E-2</v>
      </c>
      <c r="C54" s="436">
        <f>'Exhibit 2.4.1'!C71</f>
        <v>0.98031160559724195</v>
      </c>
    </row>
    <row r="55" spans="1:22">
      <c r="A55" s="435">
        <f>'Exhibit 2.4.1'!A72</f>
        <v>2018</v>
      </c>
      <c r="B55" s="486">
        <f>'Exhibit 2.4.1'!B72</f>
        <v>-1.9688394402758047E-2</v>
      </c>
      <c r="C55" s="436">
        <f>'Exhibit 2.4.1'!C72</f>
        <v>0.98031160559724195</v>
      </c>
    </row>
    <row r="56" spans="1:22">
      <c r="A56" s="435">
        <f>'Exhibit 2.4.1'!A73</f>
        <v>2017</v>
      </c>
      <c r="B56" s="486">
        <f>'Exhibit 2.4.1'!B73</f>
        <v>-1.9688394402758047E-2</v>
      </c>
      <c r="C56" s="436">
        <f>'Exhibit 2.4.1'!C73</f>
        <v>0.98031160559724195</v>
      </c>
    </row>
    <row r="57" spans="1:22">
      <c r="A57" s="437">
        <f>'Exhibit 2.4.1'!A74</f>
        <v>2016</v>
      </c>
      <c r="B57" s="487">
        <f>'Exhibit 2.4.1'!B74</f>
        <v>-1.1238666410671838E-2</v>
      </c>
      <c r="C57" s="438">
        <f>'Exhibit 2.4.1'!C74</f>
        <v>0.98876133358932816</v>
      </c>
    </row>
  </sheetData>
  <mergeCells count="6">
    <mergeCell ref="B41:V41"/>
    <mergeCell ref="B42:V43"/>
    <mergeCell ref="A1:V1"/>
    <mergeCell ref="B3:V3"/>
    <mergeCell ref="B39:S39"/>
    <mergeCell ref="B40:V40"/>
  </mergeCells>
  <printOptions horizontalCentered="1"/>
  <pageMargins left="0.25" right="0.25" top="0.75" bottom="0.75" header="0.3" footer="0.3"/>
  <pageSetup scale="73" orientation="landscape" blackAndWhite="1" r:id="rId1"/>
  <headerFooter scaleWithDoc="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Q30"/>
  <sheetViews>
    <sheetView zoomScaleNormal="100" workbookViewId="0"/>
  </sheetViews>
  <sheetFormatPr defaultColWidth="9.140625" defaultRowHeight="12.75"/>
  <cols>
    <col min="1" max="1" width="13.5703125" style="169" bestFit="1" customWidth="1"/>
    <col min="2" max="13" width="8.28515625" style="169" customWidth="1"/>
    <col min="14" max="14" width="8.28515625" style="466" customWidth="1"/>
    <col min="15" max="15" width="8.28515625" style="502" customWidth="1"/>
    <col min="16" max="16" width="8.28515625" style="169" customWidth="1"/>
    <col min="17" max="17" width="14.42578125" style="169" bestFit="1" customWidth="1"/>
    <col min="18" max="16384" width="9.140625" style="169"/>
  </cols>
  <sheetData>
    <row r="1" spans="1:17">
      <c r="A1" s="331" t="str">
        <f>+'Exhibit 2.6.1'!A1&amp;" (Continued)"</f>
        <v>Selected Medical Development Factors - Paid to Ultimate (Continued)</v>
      </c>
      <c r="B1" s="331"/>
      <c r="C1" s="331"/>
      <c r="D1" s="331"/>
      <c r="E1" s="331"/>
      <c r="F1" s="331"/>
      <c r="G1" s="331"/>
      <c r="H1" s="331"/>
      <c r="I1" s="331"/>
      <c r="J1" s="331"/>
      <c r="K1" s="331"/>
      <c r="L1" s="331"/>
      <c r="M1" s="331"/>
      <c r="N1" s="331"/>
      <c r="O1" s="331"/>
      <c r="P1" s="331"/>
      <c r="Q1" s="331"/>
    </row>
    <row r="2" spans="1:17">
      <c r="A2" s="17"/>
      <c r="B2" s="332"/>
      <c r="C2" s="332"/>
      <c r="D2" s="332"/>
      <c r="E2" s="332"/>
      <c r="F2" s="332"/>
      <c r="G2" s="332"/>
      <c r="H2" s="332"/>
      <c r="I2" s="332"/>
      <c r="J2" s="332"/>
      <c r="K2" s="332"/>
      <c r="L2" s="16"/>
      <c r="M2" s="332"/>
      <c r="N2" s="332"/>
      <c r="O2" s="332"/>
      <c r="P2" s="332"/>
      <c r="Q2" s="332"/>
    </row>
    <row r="3" spans="1:17">
      <c r="A3" s="17"/>
      <c r="B3" s="246" t="s">
        <v>18</v>
      </c>
      <c r="C3" s="246"/>
      <c r="D3" s="246"/>
      <c r="E3" s="246"/>
      <c r="F3" s="246"/>
      <c r="G3" s="246"/>
      <c r="H3" s="246"/>
      <c r="I3" s="246"/>
      <c r="J3" s="246"/>
      <c r="K3" s="246"/>
      <c r="L3" s="246"/>
      <c r="M3" s="246"/>
      <c r="N3" s="246"/>
      <c r="O3" s="246"/>
      <c r="P3" s="246"/>
      <c r="Q3" s="246"/>
    </row>
    <row r="4" spans="1:17">
      <c r="A4" s="19" t="s">
        <v>19</v>
      </c>
      <c r="B4" s="19" t="s">
        <v>466</v>
      </c>
      <c r="C4" s="19" t="s">
        <v>467</v>
      </c>
      <c r="D4" s="19" t="s">
        <v>468</v>
      </c>
      <c r="E4" s="19" t="s">
        <v>469</v>
      </c>
      <c r="F4" s="19" t="s">
        <v>470</v>
      </c>
      <c r="G4" s="19" t="s">
        <v>471</v>
      </c>
      <c r="H4" s="19" t="s">
        <v>472</v>
      </c>
      <c r="I4" s="19" t="s">
        <v>473</v>
      </c>
      <c r="J4" s="19" t="s">
        <v>474</v>
      </c>
      <c r="K4" s="19" t="s">
        <v>475</v>
      </c>
      <c r="L4" s="19" t="s">
        <v>476</v>
      </c>
      <c r="M4" s="19" t="s">
        <v>477</v>
      </c>
      <c r="N4" s="19" t="s">
        <v>478</v>
      </c>
      <c r="O4" s="19" t="s">
        <v>479</v>
      </c>
      <c r="P4" s="19" t="s">
        <v>507</v>
      </c>
      <c r="Q4" s="19" t="s">
        <v>525</v>
      </c>
    </row>
    <row r="5" spans="1:17">
      <c r="A5" s="1">
        <f t="shared" ref="A5:A19" si="0">A6-1</f>
        <v>1983</v>
      </c>
      <c r="B5" s="21"/>
      <c r="C5" s="21"/>
      <c r="D5" s="21"/>
      <c r="E5" s="21"/>
      <c r="F5" s="21"/>
      <c r="G5" s="21"/>
      <c r="H5" s="21"/>
      <c r="I5" s="21"/>
      <c r="J5" s="21"/>
      <c r="K5" s="21"/>
      <c r="L5" s="21"/>
      <c r="M5" s="21"/>
      <c r="N5" s="21"/>
      <c r="O5" s="21"/>
      <c r="P5" s="21">
        <v>1.002</v>
      </c>
      <c r="Q5" s="16"/>
    </row>
    <row r="6" spans="1:17" s="502" customFormat="1">
      <c r="A6" s="1">
        <f t="shared" si="0"/>
        <v>1984</v>
      </c>
      <c r="B6" s="21"/>
      <c r="C6" s="21"/>
      <c r="D6" s="21"/>
      <c r="E6" s="21"/>
      <c r="F6" s="21"/>
      <c r="G6" s="21"/>
      <c r="H6" s="21"/>
      <c r="I6" s="21"/>
      <c r="J6" s="21"/>
      <c r="K6" s="21"/>
      <c r="L6" s="21"/>
      <c r="M6" s="21"/>
      <c r="N6" s="21"/>
      <c r="O6" s="21">
        <v>1.002</v>
      </c>
      <c r="P6" s="21">
        <v>1.0009999999999999</v>
      </c>
      <c r="Q6" s="16"/>
    </row>
    <row r="7" spans="1:17" s="466" customFormat="1">
      <c r="A7" s="1">
        <f t="shared" si="0"/>
        <v>1985</v>
      </c>
      <c r="B7" s="21"/>
      <c r="C7" s="21"/>
      <c r="D7" s="21"/>
      <c r="E7" s="21"/>
      <c r="F7" s="21"/>
      <c r="G7" s="21"/>
      <c r="H7" s="21"/>
      <c r="I7" s="21"/>
      <c r="J7" s="21"/>
      <c r="K7" s="21"/>
      <c r="L7" s="21"/>
      <c r="M7" s="21"/>
      <c r="N7" s="21">
        <v>1.002</v>
      </c>
      <c r="O7" s="21">
        <v>1.002</v>
      </c>
      <c r="P7" s="21">
        <v>1.0009999999999999</v>
      </c>
      <c r="Q7" s="16"/>
    </row>
    <row r="8" spans="1:17" s="289" customFormat="1">
      <c r="A8" s="1">
        <f t="shared" si="0"/>
        <v>1986</v>
      </c>
      <c r="B8" s="21"/>
      <c r="C8" s="21"/>
      <c r="D8" s="21"/>
      <c r="E8" s="21"/>
      <c r="F8" s="21"/>
      <c r="G8" s="21"/>
      <c r="H8" s="21"/>
      <c r="I8" s="21"/>
      <c r="J8" s="21"/>
      <c r="K8" s="21"/>
      <c r="L8" s="21"/>
      <c r="M8" s="21">
        <v>1.0029999999999999</v>
      </c>
      <c r="N8" s="21">
        <v>1.004</v>
      </c>
      <c r="O8" s="21">
        <v>1.0009999999999999</v>
      </c>
      <c r="P8" s="21" t="s">
        <v>34</v>
      </c>
      <c r="Q8" s="16"/>
    </row>
    <row r="9" spans="1:17">
      <c r="A9" s="1">
        <f t="shared" si="0"/>
        <v>1987</v>
      </c>
      <c r="B9" s="21"/>
      <c r="C9" s="21"/>
      <c r="D9" s="21"/>
      <c r="E9" s="21"/>
      <c r="F9" s="21"/>
      <c r="G9" s="21"/>
      <c r="H9" s="21"/>
      <c r="I9" s="21"/>
      <c r="J9" s="21"/>
      <c r="K9" s="21"/>
      <c r="L9" s="21">
        <v>1.002</v>
      </c>
      <c r="M9" s="21">
        <v>1.0029999999999999</v>
      </c>
      <c r="N9" s="21">
        <v>1.0029999999999999</v>
      </c>
      <c r="O9" s="21" t="s">
        <v>34</v>
      </c>
      <c r="P9" s="21" t="s">
        <v>34</v>
      </c>
      <c r="Q9" s="16"/>
    </row>
    <row r="10" spans="1:17">
      <c r="A10" s="1">
        <f t="shared" si="0"/>
        <v>1988</v>
      </c>
      <c r="B10" s="21"/>
      <c r="C10" s="21"/>
      <c r="D10" s="21"/>
      <c r="E10" s="21"/>
      <c r="F10" s="21"/>
      <c r="G10" s="21"/>
      <c r="H10" s="21"/>
      <c r="I10" s="21"/>
      <c r="J10" s="21"/>
      <c r="K10" s="21">
        <v>1.0029999999999999</v>
      </c>
      <c r="L10" s="21">
        <v>1.002</v>
      </c>
      <c r="M10" s="21">
        <v>1.0029999999999999</v>
      </c>
      <c r="N10" s="21" t="s">
        <v>34</v>
      </c>
      <c r="O10" s="21" t="s">
        <v>34</v>
      </c>
      <c r="P10" s="21" t="s">
        <v>34</v>
      </c>
      <c r="Q10" s="16"/>
    </row>
    <row r="11" spans="1:17">
      <c r="A11" s="1">
        <f t="shared" si="0"/>
        <v>1989</v>
      </c>
      <c r="B11" s="21"/>
      <c r="C11" s="21"/>
      <c r="D11" s="21"/>
      <c r="E11" s="21"/>
      <c r="F11" s="21"/>
      <c r="G11" s="21"/>
      <c r="H11" s="21"/>
      <c r="I11" s="21"/>
      <c r="J11" s="21">
        <v>1.0029999999999999</v>
      </c>
      <c r="K11" s="21">
        <v>1.0049999999999999</v>
      </c>
      <c r="L11" s="21">
        <v>1.002</v>
      </c>
      <c r="M11" s="21" t="s">
        <v>34</v>
      </c>
      <c r="N11" s="21" t="s">
        <v>34</v>
      </c>
      <c r="O11" s="21" t="s">
        <v>34</v>
      </c>
      <c r="P11" s="21" t="s">
        <v>34</v>
      </c>
      <c r="Q11" s="16"/>
    </row>
    <row r="12" spans="1:17">
      <c r="A12" s="1">
        <f t="shared" si="0"/>
        <v>1990</v>
      </c>
      <c r="B12" s="21"/>
      <c r="C12" s="21"/>
      <c r="D12" s="21"/>
      <c r="E12" s="21"/>
      <c r="F12" s="21"/>
      <c r="G12" s="21"/>
      <c r="H12" s="21"/>
      <c r="I12" s="21">
        <v>1.0029999999999999</v>
      </c>
      <c r="J12" s="21">
        <v>1.002</v>
      </c>
      <c r="K12" s="21">
        <v>1.0029999999999999</v>
      </c>
      <c r="L12" s="21" t="s">
        <v>34</v>
      </c>
      <c r="M12" s="21" t="s">
        <v>34</v>
      </c>
      <c r="N12" s="21" t="s">
        <v>34</v>
      </c>
      <c r="O12" s="21" t="s">
        <v>34</v>
      </c>
      <c r="P12" s="21" t="s">
        <v>34</v>
      </c>
      <c r="Q12" s="16"/>
    </row>
    <row r="13" spans="1:17">
      <c r="A13" s="1">
        <f t="shared" si="0"/>
        <v>1991</v>
      </c>
      <c r="B13" s="21"/>
      <c r="C13" s="21"/>
      <c r="D13" s="21"/>
      <c r="E13" s="21"/>
      <c r="F13" s="21"/>
      <c r="G13" s="21"/>
      <c r="H13" s="21">
        <v>1.004</v>
      </c>
      <c r="I13" s="21">
        <v>1.0029999999999999</v>
      </c>
      <c r="J13" s="21">
        <v>1.002</v>
      </c>
      <c r="K13" s="21" t="s">
        <v>34</v>
      </c>
      <c r="L13" s="21" t="s">
        <v>34</v>
      </c>
      <c r="M13" s="21" t="s">
        <v>34</v>
      </c>
      <c r="N13" s="21" t="s">
        <v>34</v>
      </c>
      <c r="O13" s="21" t="s">
        <v>34</v>
      </c>
      <c r="P13" s="21" t="s">
        <v>34</v>
      </c>
      <c r="Q13" s="16"/>
    </row>
    <row r="14" spans="1:17">
      <c r="A14" s="1">
        <f t="shared" si="0"/>
        <v>1992</v>
      </c>
      <c r="B14" s="21"/>
      <c r="C14" s="21"/>
      <c r="D14" s="21"/>
      <c r="E14" s="21"/>
      <c r="F14" s="21"/>
      <c r="G14" s="21">
        <v>1.006</v>
      </c>
      <c r="H14" s="21">
        <v>1.0029999999999999</v>
      </c>
      <c r="I14" s="21">
        <v>1.0029999999999999</v>
      </c>
      <c r="J14" s="21" t="s">
        <v>34</v>
      </c>
      <c r="K14" s="21" t="s">
        <v>34</v>
      </c>
      <c r="L14" s="21" t="s">
        <v>34</v>
      </c>
      <c r="M14" s="21" t="s">
        <v>34</v>
      </c>
      <c r="N14" s="21" t="s">
        <v>34</v>
      </c>
      <c r="O14" s="21" t="s">
        <v>34</v>
      </c>
      <c r="P14" s="21" t="s">
        <v>34</v>
      </c>
      <c r="Q14" s="16"/>
    </row>
    <row r="15" spans="1:17">
      <c r="A15" s="1">
        <f t="shared" si="0"/>
        <v>1993</v>
      </c>
      <c r="B15" s="21"/>
      <c r="C15" s="21"/>
      <c r="D15" s="21"/>
      <c r="E15" s="21"/>
      <c r="F15" s="21">
        <v>1.0089999999999999</v>
      </c>
      <c r="G15" s="21">
        <v>1.004</v>
      </c>
      <c r="H15" s="21">
        <v>1.0029999999999999</v>
      </c>
      <c r="I15" s="21" t="s">
        <v>34</v>
      </c>
      <c r="J15" s="21" t="s">
        <v>34</v>
      </c>
      <c r="K15" s="21" t="s">
        <v>34</v>
      </c>
      <c r="L15" s="21" t="s">
        <v>34</v>
      </c>
      <c r="M15" s="21" t="s">
        <v>34</v>
      </c>
      <c r="N15" s="21" t="s">
        <v>34</v>
      </c>
      <c r="O15" s="21" t="s">
        <v>34</v>
      </c>
      <c r="P15" s="21" t="s">
        <v>34</v>
      </c>
      <c r="Q15" s="16"/>
    </row>
    <row r="16" spans="1:17">
      <c r="A16" s="1">
        <f t="shared" si="0"/>
        <v>1994</v>
      </c>
      <c r="B16" s="21"/>
      <c r="C16" s="21"/>
      <c r="D16" s="21"/>
      <c r="E16" s="21">
        <v>1.0049999999999999</v>
      </c>
      <c r="F16" s="21">
        <v>1.0049999999999999</v>
      </c>
      <c r="G16" s="21">
        <v>1.004</v>
      </c>
      <c r="H16" s="21" t="s">
        <v>34</v>
      </c>
      <c r="I16" s="21" t="s">
        <v>34</v>
      </c>
      <c r="J16" s="21" t="s">
        <v>34</v>
      </c>
      <c r="K16" s="21" t="s">
        <v>34</v>
      </c>
      <c r="L16" s="21" t="s">
        <v>34</v>
      </c>
      <c r="M16" s="21" t="s">
        <v>34</v>
      </c>
      <c r="N16" s="21" t="s">
        <v>34</v>
      </c>
      <c r="O16" s="21" t="s">
        <v>34</v>
      </c>
      <c r="P16" s="21" t="s">
        <v>34</v>
      </c>
      <c r="Q16" s="16"/>
    </row>
    <row r="17" spans="1:17">
      <c r="A17" s="1">
        <f t="shared" si="0"/>
        <v>1995</v>
      </c>
      <c r="B17" s="21"/>
      <c r="C17" s="21"/>
      <c r="D17" s="21">
        <v>1.01</v>
      </c>
      <c r="E17" s="21">
        <v>1.0069999999999999</v>
      </c>
      <c r="F17" s="21">
        <v>1.006</v>
      </c>
      <c r="G17" s="21" t="s">
        <v>34</v>
      </c>
      <c r="H17" s="21" t="s">
        <v>34</v>
      </c>
      <c r="I17" s="21" t="s">
        <v>34</v>
      </c>
      <c r="J17" s="21" t="s">
        <v>34</v>
      </c>
      <c r="K17" s="21" t="s">
        <v>34</v>
      </c>
      <c r="L17" s="21" t="s">
        <v>34</v>
      </c>
      <c r="M17" s="21" t="s">
        <v>34</v>
      </c>
      <c r="N17" s="21" t="s">
        <v>34</v>
      </c>
      <c r="O17" s="21" t="s">
        <v>34</v>
      </c>
      <c r="P17" s="21" t="s">
        <v>34</v>
      </c>
      <c r="Q17" s="16"/>
    </row>
    <row r="18" spans="1:17">
      <c r="A18" s="1">
        <f t="shared" si="0"/>
        <v>1996</v>
      </c>
      <c r="B18" s="21"/>
      <c r="C18" s="21">
        <v>1.0089999999999999</v>
      </c>
      <c r="D18" s="21">
        <v>1.0069999999999999</v>
      </c>
      <c r="E18" s="21">
        <v>1.0049999999999999</v>
      </c>
      <c r="F18" s="21" t="s">
        <v>34</v>
      </c>
      <c r="G18" s="21" t="s">
        <v>34</v>
      </c>
      <c r="H18" s="21" t="s">
        <v>34</v>
      </c>
      <c r="I18" s="21" t="s">
        <v>34</v>
      </c>
      <c r="J18" s="21" t="s">
        <v>34</v>
      </c>
      <c r="K18" s="21" t="s">
        <v>34</v>
      </c>
      <c r="L18" s="21" t="s">
        <v>34</v>
      </c>
      <c r="M18" s="21" t="s">
        <v>34</v>
      </c>
      <c r="N18" s="21" t="s">
        <v>34</v>
      </c>
      <c r="O18" s="21" t="s">
        <v>34</v>
      </c>
      <c r="P18" s="21" t="s">
        <v>34</v>
      </c>
      <c r="Q18" s="16"/>
    </row>
    <row r="19" spans="1:17">
      <c r="A19" s="1">
        <f t="shared" si="0"/>
        <v>1997</v>
      </c>
      <c r="B19" s="21">
        <v>1.008</v>
      </c>
      <c r="C19" s="21">
        <v>1.006</v>
      </c>
      <c r="D19" s="21">
        <v>1.0049999999999999</v>
      </c>
      <c r="E19" s="21" t="s">
        <v>34</v>
      </c>
      <c r="F19" s="21" t="s">
        <v>34</v>
      </c>
      <c r="G19" s="21" t="s">
        <v>34</v>
      </c>
      <c r="H19" s="21" t="s">
        <v>34</v>
      </c>
      <c r="I19" s="21" t="s">
        <v>34</v>
      </c>
      <c r="J19" s="21" t="s">
        <v>34</v>
      </c>
      <c r="K19" s="21" t="s">
        <v>34</v>
      </c>
      <c r="L19" s="21" t="s">
        <v>34</v>
      </c>
      <c r="M19" s="21" t="s">
        <v>34</v>
      </c>
      <c r="N19" s="21" t="s">
        <v>34</v>
      </c>
      <c r="O19" s="21" t="s">
        <v>34</v>
      </c>
      <c r="P19" s="21" t="s">
        <v>34</v>
      </c>
      <c r="Q19" s="16"/>
    </row>
    <row r="20" spans="1:17">
      <c r="A20" s="1">
        <f>A21-1</f>
        <v>1998</v>
      </c>
      <c r="B20" s="21">
        <v>1.008</v>
      </c>
      <c r="C20" s="21">
        <v>1.006</v>
      </c>
      <c r="D20" s="21" t="s">
        <v>34</v>
      </c>
      <c r="E20" s="21" t="s">
        <v>34</v>
      </c>
      <c r="F20" s="21" t="s">
        <v>34</v>
      </c>
      <c r="G20" s="21" t="s">
        <v>34</v>
      </c>
      <c r="H20" s="21" t="s">
        <v>34</v>
      </c>
      <c r="I20" s="21" t="s">
        <v>34</v>
      </c>
      <c r="J20" s="21" t="s">
        <v>34</v>
      </c>
      <c r="K20" s="21" t="s">
        <v>34</v>
      </c>
      <c r="L20" s="21" t="s">
        <v>34</v>
      </c>
      <c r="M20" s="21" t="s">
        <v>34</v>
      </c>
      <c r="N20" s="21" t="s">
        <v>34</v>
      </c>
      <c r="O20" s="21" t="s">
        <v>34</v>
      </c>
      <c r="P20" s="21" t="s">
        <v>34</v>
      </c>
      <c r="Q20" s="16"/>
    </row>
    <row r="21" spans="1:17">
      <c r="A21" s="1">
        <f>'Exhibit 2.6.1'!$A$6</f>
        <v>1999</v>
      </c>
      <c r="B21" s="21">
        <v>1.006</v>
      </c>
      <c r="C21" s="21" t="s">
        <v>34</v>
      </c>
      <c r="D21" s="21" t="s">
        <v>34</v>
      </c>
      <c r="E21" s="21" t="s">
        <v>34</v>
      </c>
      <c r="F21" s="21" t="s">
        <v>34</v>
      </c>
      <c r="G21" s="21" t="s">
        <v>34</v>
      </c>
      <c r="H21" s="21" t="s">
        <v>34</v>
      </c>
      <c r="I21" s="21" t="s">
        <v>34</v>
      </c>
      <c r="J21" s="21" t="s">
        <v>34</v>
      </c>
      <c r="K21" s="21" t="s">
        <v>34</v>
      </c>
      <c r="L21" s="21" t="s">
        <v>34</v>
      </c>
      <c r="M21" s="21" t="s">
        <v>34</v>
      </c>
      <c r="N21" s="21" t="s">
        <v>34</v>
      </c>
      <c r="O21" s="21" t="s">
        <v>34</v>
      </c>
      <c r="P21" s="21" t="s">
        <v>34</v>
      </c>
      <c r="Q21" s="16"/>
    </row>
    <row r="22" spans="1:17">
      <c r="A22" s="1"/>
      <c r="B22" s="16"/>
      <c r="C22" s="16"/>
      <c r="D22" s="16"/>
      <c r="E22" s="16"/>
      <c r="F22" s="16"/>
      <c r="G22" s="16"/>
      <c r="H22" s="16"/>
      <c r="I22" s="16"/>
      <c r="J22" s="16"/>
      <c r="K22" s="16"/>
      <c r="L22" s="16"/>
      <c r="M22" s="16"/>
      <c r="N22" s="16"/>
      <c r="O22" s="16"/>
      <c r="P22" s="16"/>
      <c r="Q22" s="16"/>
    </row>
    <row r="23" spans="1:17">
      <c r="A23" s="18"/>
      <c r="B23" s="16"/>
      <c r="Q23" s="16"/>
    </row>
    <row r="24" spans="1:17" s="305" customFormat="1">
      <c r="A24" s="1" t="s">
        <v>376</v>
      </c>
      <c r="B24" s="16">
        <f>AVERAGE(B19:B21)</f>
        <v>1.0073333333333334</v>
      </c>
      <c r="C24" s="16">
        <f>AVERAGE(C18:C20)</f>
        <v>1.0069999999999999</v>
      </c>
      <c r="D24" s="16">
        <f>AVERAGE(D17:D19)</f>
        <v>1.0073333333333332</v>
      </c>
      <c r="E24" s="16">
        <f>AVERAGE(E16:E18)</f>
        <v>1.0056666666666665</v>
      </c>
      <c r="F24" s="16">
        <f>AVERAGE(F15:F17)</f>
        <v>1.0066666666666666</v>
      </c>
      <c r="G24" s="16">
        <f>AVERAGE(G14:G16)</f>
        <v>1.0046666666666666</v>
      </c>
      <c r="H24" s="16">
        <f>AVERAGE(H13:H15)</f>
        <v>1.0033333333333332</v>
      </c>
      <c r="I24" s="16">
        <f>AVERAGE(I12:I14)</f>
        <v>1.0029999999999999</v>
      </c>
      <c r="J24" s="16">
        <f>AVERAGE(J11:J13)</f>
        <v>1.0023333333333333</v>
      </c>
      <c r="K24" s="16">
        <f>AVERAGE(K10:K12)</f>
        <v>1.0036666666666667</v>
      </c>
      <c r="L24" s="16">
        <f>AVERAGE(L9:L11)</f>
        <v>1.002</v>
      </c>
      <c r="M24" s="16">
        <f>AVERAGE(M8:M10)</f>
        <v>1.0029999999999999</v>
      </c>
      <c r="N24" s="16">
        <f>AVERAGE(N7:N9)</f>
        <v>1.0030000000000001</v>
      </c>
      <c r="O24" s="16">
        <f>AVERAGE(O6:O8)</f>
        <v>1.0016666666666667</v>
      </c>
      <c r="P24" s="16">
        <f>AVERAGE(P5:P7)</f>
        <v>1.0013333333333334</v>
      </c>
      <c r="Q24" s="21">
        <v>1.0740000000000001</v>
      </c>
    </row>
    <row r="25" spans="1:17">
      <c r="A25" s="1" t="s">
        <v>377</v>
      </c>
      <c r="B25" s="21">
        <v>1.0073333333333334</v>
      </c>
      <c r="C25" s="21">
        <v>1.0069999999999999</v>
      </c>
      <c r="D25" s="21">
        <v>1.0053686728737892</v>
      </c>
      <c r="E25" s="21">
        <v>1.0041660045266787</v>
      </c>
      <c r="F25" s="21">
        <v>1.0049474535949059</v>
      </c>
      <c r="G25" s="21">
        <v>1.0035230421149588</v>
      </c>
      <c r="H25" s="21">
        <v>1.0025716275630057</v>
      </c>
      <c r="I25" s="21">
        <v>1.002394380470184</v>
      </c>
      <c r="J25" s="21">
        <v>1.0019105096249179</v>
      </c>
      <c r="K25" s="21">
        <v>1.0030685127147472</v>
      </c>
      <c r="L25" s="21">
        <v>1.002</v>
      </c>
      <c r="M25" s="21">
        <v>1.0025198713025019</v>
      </c>
      <c r="N25" s="21">
        <v>1.0030798427030578</v>
      </c>
      <c r="O25" s="21">
        <v>1.0013999285013899</v>
      </c>
      <c r="P25" s="21">
        <v>1.000839957100834</v>
      </c>
      <c r="Q25" s="16">
        <f>Q26</f>
        <v>1.0484818478950702</v>
      </c>
    </row>
    <row r="26" spans="1:17">
      <c r="A26" s="1" t="s">
        <v>21</v>
      </c>
      <c r="B26" s="16">
        <f t="shared" ref="B26:K26" si="1">B25*C26</f>
        <v>1.1044527151619659</v>
      </c>
      <c r="C26" s="16">
        <f t="shared" si="1"/>
        <v>1.0964123578709124</v>
      </c>
      <c r="D26" s="16">
        <f t="shared" si="1"/>
        <v>1.0887908221160998</v>
      </c>
      <c r="E26" s="16">
        <f t="shared" si="1"/>
        <v>1.0829766746201204</v>
      </c>
      <c r="F26" s="16">
        <f t="shared" si="1"/>
        <v>1.0784837066164072</v>
      </c>
      <c r="G26" s="16">
        <f t="shared" si="1"/>
        <v>1.0731742269294249</v>
      </c>
      <c r="H26" s="16">
        <f t="shared" si="1"/>
        <v>1.0694066622204048</v>
      </c>
      <c r="I26" s="16">
        <f t="shared" si="1"/>
        <v>1.0666636007043786</v>
      </c>
      <c r="J26" s="16">
        <f t="shared" si="1"/>
        <v>1.0641157028474644</v>
      </c>
      <c r="K26" s="16">
        <f t="shared" si="1"/>
        <v>1.0620865762210978</v>
      </c>
      <c r="L26" s="16">
        <f t="shared" ref="L26" si="2">L25*M26</f>
        <v>1.0588375198286522</v>
      </c>
      <c r="M26" s="16">
        <f t="shared" ref="M26" si="3">M25*N26</f>
        <v>1.0567240716852815</v>
      </c>
      <c r="N26" s="16">
        <f t="shared" ref="N26" si="4">N25*O26</f>
        <v>1.0540679560918389</v>
      </c>
      <c r="O26" s="16">
        <f t="shared" ref="O26" si="5">O25*P26</f>
        <v>1.0508315601790785</v>
      </c>
      <c r="P26" s="16">
        <f t="shared" ref="P26" si="6">P25*Q26</f>
        <v>1.0493625276683052</v>
      </c>
      <c r="Q26" s="21">
        <v>1.0484818478950702</v>
      </c>
    </row>
    <row r="27" spans="1:17">
      <c r="A27" s="17"/>
      <c r="B27" s="137"/>
      <c r="C27" s="137"/>
      <c r="D27" s="137"/>
      <c r="E27" s="137"/>
      <c r="F27" s="137"/>
      <c r="G27" s="137"/>
      <c r="H27" s="137"/>
      <c r="I27" s="137"/>
      <c r="J27" s="137"/>
      <c r="K27" s="137"/>
      <c r="L27" s="137"/>
      <c r="M27" s="137"/>
      <c r="N27" s="137"/>
      <c r="O27" s="137"/>
      <c r="P27" s="137"/>
      <c r="Q27" s="137"/>
    </row>
    <row r="28" spans="1:17" ht="12.75" customHeight="1">
      <c r="A28" s="3" t="s">
        <v>42</v>
      </c>
      <c r="B28" s="44" t="s">
        <v>519</v>
      </c>
      <c r="C28" s="307"/>
      <c r="D28" s="307"/>
      <c r="E28" s="307"/>
      <c r="F28" s="307"/>
      <c r="G28" s="307"/>
      <c r="H28" s="307"/>
      <c r="I28" s="307"/>
      <c r="J28" s="307"/>
      <c r="K28" s="307"/>
      <c r="L28" s="307"/>
      <c r="M28" s="307"/>
      <c r="N28" s="307"/>
      <c r="O28" s="307"/>
      <c r="P28" s="307"/>
      <c r="Q28" s="307"/>
    </row>
    <row r="29" spans="1:17" ht="12.75" customHeight="1">
      <c r="A29" s="24" t="s">
        <v>325</v>
      </c>
      <c r="B29" s="307" t="s">
        <v>520</v>
      </c>
      <c r="C29" s="333"/>
      <c r="D29" s="333"/>
      <c r="E29" s="333"/>
      <c r="F29" s="333"/>
      <c r="G29" s="333"/>
      <c r="H29" s="333"/>
      <c r="I29" s="333"/>
      <c r="J29" s="333"/>
      <c r="K29" s="333"/>
      <c r="L29" s="333"/>
      <c r="M29" s="333"/>
      <c r="N29" s="333"/>
      <c r="O29" s="333"/>
      <c r="P29" s="333"/>
      <c r="Q29" s="333"/>
    </row>
    <row r="30" spans="1:17">
      <c r="A30" s="24"/>
      <c r="B30" s="307" t="s">
        <v>435</v>
      </c>
      <c r="C30" s="44"/>
      <c r="D30" s="44"/>
      <c r="E30" s="44"/>
      <c r="F30" s="44"/>
      <c r="G30" s="44"/>
      <c r="H30" s="44"/>
      <c r="I30" s="44"/>
      <c r="J30" s="44"/>
      <c r="K30" s="44"/>
      <c r="L30" s="44"/>
      <c r="M30" s="44"/>
      <c r="N30" s="44"/>
      <c r="O30" s="44"/>
      <c r="P30" s="44"/>
      <c r="Q30" s="44"/>
    </row>
  </sheetData>
  <pageMargins left="0.7" right="0.7" top="0.75" bottom="0.75" header="0.3" footer="0.3"/>
  <pageSetup scale="90" orientation="landscape" blackAndWhite="1" horizontalDpi="1200" verticalDpi="1200" r:id="rId1"/>
  <headerFooter scaleWithDoc="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7F317-D2AE-40D0-AEBA-107AD2799705}">
  <dimension ref="A1:L349"/>
  <sheetViews>
    <sheetView zoomScaleNormal="100" zoomScaleSheetLayoutView="85" workbookViewId="0"/>
  </sheetViews>
  <sheetFormatPr defaultColWidth="8.85546875" defaultRowHeight="15"/>
  <cols>
    <col min="1" max="1" width="8.7109375" customWidth="1"/>
    <col min="2" max="2" width="7.7109375" customWidth="1"/>
    <col min="3" max="3" width="15.7109375" bestFit="1" customWidth="1"/>
    <col min="4" max="11" width="10" customWidth="1"/>
    <col min="12" max="12" width="12.7109375" customWidth="1"/>
  </cols>
  <sheetData>
    <row r="1" spans="1:12" ht="45" customHeight="1">
      <c r="L1" s="143" t="s">
        <v>362</v>
      </c>
    </row>
    <row r="2" spans="1:12" s="466" customFormat="1" ht="12.75">
      <c r="A2" s="245" t="s">
        <v>35</v>
      </c>
      <c r="B2" s="245"/>
      <c r="C2" s="245"/>
      <c r="D2" s="245"/>
      <c r="E2" s="245"/>
      <c r="F2" s="245"/>
      <c r="G2" s="245"/>
      <c r="H2" s="245"/>
      <c r="I2" s="245"/>
      <c r="J2" s="245"/>
      <c r="K2" s="245"/>
      <c r="L2" s="245"/>
    </row>
    <row r="3" spans="1:12" s="466" customFormat="1" ht="12.75">
      <c r="A3" s="245" t="s">
        <v>247</v>
      </c>
      <c r="B3" s="245"/>
      <c r="C3" s="245"/>
      <c r="D3" s="245"/>
      <c r="E3" s="245"/>
      <c r="F3" s="245"/>
      <c r="G3" s="245"/>
      <c r="H3" s="245"/>
      <c r="I3" s="245"/>
      <c r="J3" s="245"/>
      <c r="K3" s="245"/>
      <c r="L3" s="245"/>
    </row>
    <row r="4" spans="1:12" s="466" customFormat="1" ht="12.75">
      <c r="A4" s="245" t="s">
        <v>248</v>
      </c>
      <c r="B4" s="245"/>
      <c r="C4" s="245"/>
      <c r="D4" s="245"/>
      <c r="E4" s="245"/>
      <c r="F4" s="245"/>
      <c r="G4" s="245"/>
      <c r="H4" s="245"/>
      <c r="I4" s="245"/>
      <c r="J4" s="245"/>
      <c r="K4" s="245"/>
      <c r="L4" s="245"/>
    </row>
    <row r="5" spans="1:12" s="466" customFormat="1" ht="12.75">
      <c r="A5" s="298"/>
      <c r="B5" s="298"/>
      <c r="C5" s="298"/>
      <c r="D5" s="298"/>
      <c r="E5" s="298"/>
      <c r="F5" s="298"/>
      <c r="G5" s="298"/>
      <c r="H5" s="298"/>
      <c r="I5" s="298"/>
      <c r="J5" s="298"/>
      <c r="K5" s="298"/>
      <c r="L5" s="298"/>
    </row>
    <row r="6" spans="1:12" s="466" customFormat="1" ht="12.75">
      <c r="A6" s="467"/>
      <c r="B6" s="467" t="s">
        <v>249</v>
      </c>
      <c r="C6" s="467"/>
      <c r="D6" s="467"/>
      <c r="E6" s="467"/>
      <c r="F6" s="467"/>
      <c r="G6" s="467"/>
      <c r="H6" s="467"/>
      <c r="I6" s="467"/>
      <c r="J6" s="467"/>
      <c r="K6" s="467"/>
    </row>
    <row r="7" spans="1:12" s="466" customFormat="1" ht="12.75"/>
    <row r="8" spans="1:12" s="466" customFormat="1" ht="12.75">
      <c r="C8" s="252" t="s">
        <v>197</v>
      </c>
      <c r="D8" s="518" t="s">
        <v>294</v>
      </c>
      <c r="E8" s="518"/>
      <c r="F8" s="518"/>
      <c r="G8" s="518"/>
      <c r="H8" s="518"/>
      <c r="I8" s="518"/>
      <c r="J8" s="518"/>
      <c r="K8" s="252"/>
      <c r="L8" s="252"/>
    </row>
    <row r="9" spans="1:12" s="466" customFormat="1" ht="12.75">
      <c r="C9" s="26" t="s">
        <v>8</v>
      </c>
      <c r="D9" s="77">
        <v>12</v>
      </c>
      <c r="E9" s="77">
        <f>D9+12</f>
        <v>24</v>
      </c>
      <c r="F9" s="77">
        <f t="shared" ref="F9:J9" si="0">E9+12</f>
        <v>36</v>
      </c>
      <c r="G9" s="77">
        <f t="shared" si="0"/>
        <v>48</v>
      </c>
      <c r="H9" s="77">
        <f t="shared" si="0"/>
        <v>60</v>
      </c>
      <c r="I9" s="77">
        <f t="shared" si="0"/>
        <v>72</v>
      </c>
      <c r="J9" s="77">
        <f t="shared" si="0"/>
        <v>84</v>
      </c>
      <c r="K9" s="77"/>
      <c r="L9" s="26"/>
    </row>
    <row r="10" spans="1:12" s="466" customFormat="1" ht="4.5" customHeight="1"/>
    <row r="11" spans="1:12" s="466" customFormat="1" ht="12.75">
      <c r="C11" s="252">
        <f t="shared" ref="C11:C18" si="1">C12-1</f>
        <v>2012</v>
      </c>
      <c r="D11" s="363"/>
      <c r="E11" s="363"/>
      <c r="F11" s="363"/>
      <c r="G11" s="363"/>
      <c r="H11" s="363"/>
      <c r="I11" s="363"/>
      <c r="J11" s="363">
        <v>125377.07625581986</v>
      </c>
      <c r="K11" s="73"/>
    </row>
    <row r="12" spans="1:12" s="466" customFormat="1" ht="12.75">
      <c r="C12" s="252">
        <f t="shared" si="1"/>
        <v>2013</v>
      </c>
      <c r="D12" s="363"/>
      <c r="E12" s="363"/>
      <c r="F12" s="363"/>
      <c r="G12" s="363"/>
      <c r="H12" s="363"/>
      <c r="I12" s="363">
        <v>133608.60234942206</v>
      </c>
      <c r="J12" s="363">
        <v>133806.60917006503</v>
      </c>
      <c r="K12" s="73"/>
    </row>
    <row r="13" spans="1:12" s="466" customFormat="1" ht="12.75">
      <c r="C13" s="252">
        <f t="shared" si="1"/>
        <v>2014</v>
      </c>
      <c r="D13" s="363"/>
      <c r="E13" s="363"/>
      <c r="F13" s="363"/>
      <c r="G13" s="363"/>
      <c r="H13" s="363">
        <v>139333.33768253698</v>
      </c>
      <c r="I13" s="363">
        <v>139632.33626125485</v>
      </c>
      <c r="J13" s="363">
        <v>139673</v>
      </c>
      <c r="K13" s="73"/>
    </row>
    <row r="14" spans="1:12" s="466" customFormat="1" ht="12.75">
      <c r="C14" s="252">
        <f t="shared" si="1"/>
        <v>2015</v>
      </c>
      <c r="D14" s="363"/>
      <c r="E14" s="363"/>
      <c r="F14" s="363"/>
      <c r="G14" s="363">
        <v>144009.13956818005</v>
      </c>
      <c r="H14" s="363">
        <v>144423.1342198471</v>
      </c>
      <c r="I14" s="363">
        <v>144782.99999999997</v>
      </c>
      <c r="J14" s="363">
        <v>144944</v>
      </c>
      <c r="K14" s="73"/>
    </row>
    <row r="15" spans="1:12" s="466" customFormat="1" ht="12.75">
      <c r="C15" s="252">
        <f t="shared" si="1"/>
        <v>2016</v>
      </c>
      <c r="D15" s="363"/>
      <c r="E15" s="363"/>
      <c r="F15" s="363">
        <v>146455</v>
      </c>
      <c r="G15" s="363">
        <v>147461</v>
      </c>
      <c r="H15" s="363">
        <v>147904</v>
      </c>
      <c r="I15" s="363">
        <v>148191</v>
      </c>
      <c r="J15" s="363"/>
      <c r="K15" s="73"/>
    </row>
    <row r="16" spans="1:12" s="466" customFormat="1" ht="12.75">
      <c r="C16" s="252">
        <f t="shared" si="1"/>
        <v>2017</v>
      </c>
      <c r="D16" s="363"/>
      <c r="E16" s="363">
        <v>143733.99999999997</v>
      </c>
      <c r="F16" s="363">
        <v>147088.99999999997</v>
      </c>
      <c r="G16" s="363">
        <v>148179</v>
      </c>
      <c r="H16" s="363">
        <v>148580</v>
      </c>
      <c r="I16" s="363"/>
      <c r="J16" s="363"/>
      <c r="K16" s="73"/>
    </row>
    <row r="17" spans="1:12" s="466" customFormat="1" ht="12.75">
      <c r="C17" s="252">
        <f t="shared" si="1"/>
        <v>2018</v>
      </c>
      <c r="D17" s="363">
        <v>119668.00000000003</v>
      </c>
      <c r="E17" s="363">
        <v>146730.00000000003</v>
      </c>
      <c r="F17" s="363">
        <v>150175</v>
      </c>
      <c r="G17" s="363">
        <v>151186</v>
      </c>
      <c r="H17" s="363"/>
      <c r="I17" s="363"/>
      <c r="J17" s="363"/>
      <c r="K17" s="73"/>
    </row>
    <row r="18" spans="1:12" s="466" customFormat="1" ht="12.75">
      <c r="C18" s="252">
        <f t="shared" si="1"/>
        <v>2019</v>
      </c>
      <c r="D18" s="363">
        <v>121955</v>
      </c>
      <c r="E18" s="363">
        <v>148976</v>
      </c>
      <c r="F18" s="363">
        <v>153193</v>
      </c>
      <c r="G18" s="363"/>
      <c r="H18" s="363"/>
      <c r="I18" s="363"/>
      <c r="J18" s="363"/>
      <c r="K18" s="73"/>
    </row>
    <row r="19" spans="1:12" s="466" customFormat="1" ht="12.75">
      <c r="C19" s="252">
        <f>C20-1</f>
        <v>2020</v>
      </c>
      <c r="D19" s="363">
        <v>106343</v>
      </c>
      <c r="E19" s="363">
        <v>129773</v>
      </c>
      <c r="F19" s="363"/>
      <c r="G19" s="363"/>
      <c r="H19" s="363"/>
      <c r="I19" s="363"/>
      <c r="J19" s="363"/>
      <c r="K19" s="73"/>
    </row>
    <row r="20" spans="1:12" s="466" customFormat="1" ht="12.75">
      <c r="C20" s="252">
        <f>'Exhibits 2.5.3 - 2.5.8'!$C$21</f>
        <v>2021</v>
      </c>
      <c r="D20" s="363">
        <v>117281</v>
      </c>
      <c r="E20" s="363"/>
      <c r="F20" s="363"/>
      <c r="G20" s="363"/>
      <c r="H20" s="363"/>
      <c r="I20" s="363"/>
      <c r="J20" s="363"/>
      <c r="K20" s="73"/>
    </row>
    <row r="21" spans="1:12" s="466" customFormat="1" ht="12.75">
      <c r="C21" s="252"/>
      <c r="D21" s="73"/>
      <c r="E21" s="73"/>
      <c r="F21" s="73"/>
      <c r="G21" s="73"/>
      <c r="H21" s="73"/>
      <c r="I21" s="73"/>
      <c r="J21" s="73"/>
      <c r="K21" s="73"/>
    </row>
    <row r="22" spans="1:12" s="466" customFormat="1" ht="12.75">
      <c r="A22" s="467"/>
      <c r="B22" s="467" t="s">
        <v>250</v>
      </c>
      <c r="C22" s="467"/>
      <c r="D22" s="467"/>
      <c r="E22" s="467"/>
      <c r="F22" s="467"/>
      <c r="G22" s="467"/>
      <c r="H22" s="467"/>
      <c r="I22" s="467"/>
      <c r="J22" s="467"/>
      <c r="K22" s="467"/>
    </row>
    <row r="23" spans="1:12" s="466" customFormat="1" ht="12.75">
      <c r="A23" s="49"/>
      <c r="B23" s="49"/>
      <c r="C23" s="50"/>
      <c r="D23" s="50"/>
      <c r="E23" s="50"/>
      <c r="F23" s="50"/>
      <c r="G23" s="50"/>
      <c r="H23" s="50"/>
      <c r="I23" s="50"/>
      <c r="J23" s="50"/>
      <c r="K23" s="50"/>
      <c r="L23" s="50"/>
    </row>
    <row r="24" spans="1:12" s="466" customFormat="1" ht="12.75">
      <c r="C24" s="252" t="s">
        <v>54</v>
      </c>
      <c r="D24" s="518" t="s">
        <v>481</v>
      </c>
      <c r="E24" s="518"/>
      <c r="F24" s="518"/>
      <c r="G24" s="518"/>
      <c r="H24" s="518"/>
      <c r="I24" s="518"/>
      <c r="J24" s="518"/>
      <c r="K24" s="252"/>
      <c r="L24" s="25"/>
    </row>
    <row r="25" spans="1:12" s="466" customFormat="1" ht="12.75">
      <c r="C25" s="26" t="s">
        <v>8</v>
      </c>
      <c r="D25" s="77" t="str">
        <f t="shared" ref="D25:I25" si="2">+D9&amp;"-"&amp;E9</f>
        <v>12-24</v>
      </c>
      <c r="E25" s="77" t="str">
        <f t="shared" si="2"/>
        <v>24-36</v>
      </c>
      <c r="F25" s="77" t="str">
        <f t="shared" si="2"/>
        <v>36-48</v>
      </c>
      <c r="G25" s="77" t="str">
        <f t="shared" si="2"/>
        <v>48-60</v>
      </c>
      <c r="H25" s="77" t="str">
        <f t="shared" si="2"/>
        <v>60-72</v>
      </c>
      <c r="I25" s="77" t="str">
        <f t="shared" si="2"/>
        <v>72-84</v>
      </c>
      <c r="J25" s="77" t="str">
        <f>RIGHT(I25,2)&amp;"-Ult"</f>
        <v>84-Ult</v>
      </c>
      <c r="K25" s="77"/>
      <c r="L25" s="488"/>
    </row>
    <row r="26" spans="1:12" s="466" customFormat="1" ht="4.5" customHeight="1"/>
    <row r="27" spans="1:12" s="466" customFormat="1" ht="12.75">
      <c r="C27" s="252">
        <f t="shared" ref="C27:C34" si="3">+C12</f>
        <v>2013</v>
      </c>
      <c r="D27" s="54"/>
      <c r="E27" s="54"/>
      <c r="F27" s="54"/>
      <c r="G27" s="54"/>
      <c r="H27" s="54"/>
      <c r="I27" s="144">
        <f t="shared" ref="I27" si="4">J12/I12</f>
        <v>1.0014819915571389</v>
      </c>
      <c r="J27" s="54"/>
      <c r="K27" s="54"/>
      <c r="L27" s="54"/>
    </row>
    <row r="28" spans="1:12" s="466" customFormat="1" ht="12.75">
      <c r="C28" s="252">
        <f t="shared" si="3"/>
        <v>2014</v>
      </c>
      <c r="D28" s="54"/>
      <c r="E28" s="54"/>
      <c r="F28" s="54"/>
      <c r="G28" s="54"/>
      <c r="H28" s="144">
        <f t="shared" ref="H28:I28" si="5">I13/H13</f>
        <v>1.002145922746781</v>
      </c>
      <c r="I28" s="144">
        <f t="shared" si="5"/>
        <v>1.0002912200700349</v>
      </c>
      <c r="J28" s="54"/>
      <c r="K28" s="54"/>
      <c r="L28" s="54"/>
    </row>
    <row r="29" spans="1:12" s="466" customFormat="1" ht="12.75">
      <c r="C29" s="252">
        <f t="shared" si="3"/>
        <v>2015</v>
      </c>
      <c r="D29" s="54"/>
      <c r="E29" s="54"/>
      <c r="F29" s="54"/>
      <c r="G29" s="144">
        <f t="shared" ref="G29:H29" si="6">H14/G14</f>
        <v>1.0028747803987195</v>
      </c>
      <c r="H29" s="144">
        <f t="shared" si="6"/>
        <v>1.0024917460910734</v>
      </c>
      <c r="I29" s="144">
        <f>J14/I14</f>
        <v>1.0011120090065824</v>
      </c>
      <c r="J29" s="54"/>
      <c r="K29" s="54"/>
      <c r="L29" s="54"/>
    </row>
    <row r="30" spans="1:12" s="466" customFormat="1" ht="12.75">
      <c r="C30" s="252">
        <f t="shared" si="3"/>
        <v>2016</v>
      </c>
      <c r="D30" s="54"/>
      <c r="E30" s="54"/>
      <c r="F30" s="144">
        <f t="shared" ref="F30:G30" si="7">G15/F15</f>
        <v>1.0068690041309618</v>
      </c>
      <c r="G30" s="144">
        <f t="shared" si="7"/>
        <v>1.0030041841571671</v>
      </c>
      <c r="H30" s="144">
        <f>I15/H15</f>
        <v>1.00194044785807</v>
      </c>
      <c r="I30" s="54"/>
      <c r="J30" s="54"/>
      <c r="K30" s="54"/>
      <c r="L30" s="54"/>
    </row>
    <row r="31" spans="1:12" s="466" customFormat="1" ht="12.75">
      <c r="C31" s="252">
        <f t="shared" si="3"/>
        <v>2017</v>
      </c>
      <c r="D31" s="54"/>
      <c r="E31" s="144">
        <f t="shared" ref="D31:E33" si="8">F16/E16</f>
        <v>1.0233417284706472</v>
      </c>
      <c r="F31" s="144">
        <f t="shared" ref="F31" si="9">G16/F16</f>
        <v>1.0074104793696335</v>
      </c>
      <c r="G31" s="144">
        <f>H16/G16</f>
        <v>1.0027061864366746</v>
      </c>
      <c r="H31" s="54"/>
      <c r="I31" s="54"/>
      <c r="J31" s="54"/>
      <c r="K31" s="54"/>
      <c r="L31" s="54"/>
    </row>
    <row r="32" spans="1:12" s="466" customFormat="1" ht="12.75">
      <c r="C32" s="252">
        <f t="shared" si="3"/>
        <v>2018</v>
      </c>
      <c r="D32" s="144">
        <f t="shared" si="8"/>
        <v>1.2261423271049905</v>
      </c>
      <c r="E32" s="144">
        <f t="shared" si="8"/>
        <v>1.023478497921352</v>
      </c>
      <c r="F32" s="144">
        <f>G17/F17</f>
        <v>1.0067321458298653</v>
      </c>
      <c r="G32" s="54"/>
      <c r="H32" s="54"/>
      <c r="I32" s="54"/>
      <c r="J32" s="54"/>
      <c r="K32" s="54"/>
      <c r="L32" s="54"/>
    </row>
    <row r="33" spans="1:12" s="466" customFormat="1" ht="12.75">
      <c r="C33" s="252">
        <f t="shared" si="3"/>
        <v>2019</v>
      </c>
      <c r="D33" s="144">
        <f t="shared" si="8"/>
        <v>1.2215653314747243</v>
      </c>
      <c r="E33" s="144">
        <f>F18/E18</f>
        <v>1.0283065728707981</v>
      </c>
      <c r="F33" s="54"/>
      <c r="G33" s="54"/>
      <c r="H33" s="54"/>
      <c r="I33" s="54"/>
      <c r="J33" s="54"/>
      <c r="K33" s="54"/>
      <c r="L33" s="54"/>
    </row>
    <row r="34" spans="1:12" s="466" customFormat="1" ht="12.75">
      <c r="C34" s="252">
        <f t="shared" si="3"/>
        <v>2020</v>
      </c>
      <c r="D34" s="144">
        <f>E19/D19</f>
        <v>1.2203247980591105</v>
      </c>
      <c r="E34" s="54"/>
      <c r="F34" s="54"/>
      <c r="G34" s="54"/>
      <c r="H34" s="54"/>
      <c r="I34" s="54"/>
      <c r="J34" s="54"/>
      <c r="K34" s="54"/>
      <c r="L34" s="54"/>
    </row>
    <row r="35" spans="1:12" s="466" customFormat="1" ht="13.15" customHeight="1">
      <c r="A35" s="49"/>
      <c r="B35" s="49"/>
      <c r="C35" s="54"/>
      <c r="D35" s="54"/>
      <c r="F35" s="54"/>
      <c r="G35" s="54"/>
      <c r="H35" s="35"/>
      <c r="I35" s="54"/>
      <c r="J35" s="54"/>
      <c r="K35" s="54"/>
      <c r="L35" s="54"/>
    </row>
    <row r="36" spans="1:12" s="466" customFormat="1" ht="12.75">
      <c r="C36" s="466" t="s">
        <v>251</v>
      </c>
      <c r="D36" s="54">
        <f>D34</f>
        <v>1.2203247980591105</v>
      </c>
      <c r="E36" s="54">
        <f>E33</f>
        <v>1.0283065728707981</v>
      </c>
      <c r="F36" s="54">
        <f>F32</f>
        <v>1.0067321458298653</v>
      </c>
      <c r="G36" s="54">
        <f>G31</f>
        <v>1.0027061864366746</v>
      </c>
      <c r="H36" s="54">
        <f>H30</f>
        <v>1.00194044785807</v>
      </c>
      <c r="I36" s="54">
        <f>I29</f>
        <v>1.0011120090065824</v>
      </c>
      <c r="J36" s="54"/>
      <c r="K36" s="54"/>
    </row>
    <row r="37" spans="1:12" s="466" customFormat="1" ht="12.75">
      <c r="C37" s="466" t="s">
        <v>21</v>
      </c>
      <c r="D37" s="54">
        <f t="shared" ref="D37" si="10">D36*E37</f>
        <v>1.2789344817174031</v>
      </c>
      <c r="E37" s="54">
        <f t="shared" ref="E37" si="11">E36*F37</f>
        <v>1.0480279379321877</v>
      </c>
      <c r="F37" s="54">
        <f t="shared" ref="F37" si="12">F36*G37</f>
        <v>1.0191784877989567</v>
      </c>
      <c r="G37" s="54">
        <f t="shared" ref="G37" si="13">G36*H37</f>
        <v>1.0123631116982281</v>
      </c>
      <c r="H37" s="54">
        <f t="shared" ref="H37" si="14">H36*I37</f>
        <v>1.0096308623524817</v>
      </c>
      <c r="I37" s="54">
        <f t="shared" ref="I37" si="15">I36*J37</f>
        <v>1.0076755205470067</v>
      </c>
      <c r="J37" s="364">
        <v>1.0065562209636636</v>
      </c>
      <c r="K37" s="54"/>
    </row>
    <row r="38" spans="1:12" s="466" customFormat="1" ht="12.75"/>
    <row r="39" spans="1:12" s="466" customFormat="1" ht="12.75">
      <c r="D39" s="464"/>
      <c r="E39" s="464"/>
      <c r="F39" s="464"/>
      <c r="G39" s="464"/>
      <c r="H39" s="464"/>
      <c r="I39" s="464"/>
      <c r="J39" s="464"/>
      <c r="K39" s="252"/>
    </row>
    <row r="40" spans="1:12" s="466" customFormat="1" ht="12.75">
      <c r="C40" s="466" t="s">
        <v>252</v>
      </c>
      <c r="D40" s="77">
        <f>$C$20</f>
        <v>2021</v>
      </c>
      <c r="E40" s="77">
        <f>D40-1</f>
        <v>2020</v>
      </c>
      <c r="F40" s="77">
        <f t="shared" ref="F40:J40" si="16">E40-1</f>
        <v>2019</v>
      </c>
      <c r="G40" s="77">
        <f t="shared" si="16"/>
        <v>2018</v>
      </c>
      <c r="H40" s="77">
        <f t="shared" si="16"/>
        <v>2017</v>
      </c>
      <c r="I40" s="77">
        <f t="shared" si="16"/>
        <v>2016</v>
      </c>
      <c r="J40" s="77">
        <f t="shared" si="16"/>
        <v>2015</v>
      </c>
      <c r="K40" s="77"/>
      <c r="L40" s="77"/>
    </row>
    <row r="41" spans="1:12" s="466" customFormat="1" ht="12.75">
      <c r="C41" s="466" t="s">
        <v>253</v>
      </c>
      <c r="D41" s="139">
        <f>D37*D20</f>
        <v>149994.71495029874</v>
      </c>
      <c r="E41" s="139">
        <f>E37*E19</f>
        <v>136005.7295892738</v>
      </c>
      <c r="F41" s="139">
        <f>F37*F18</f>
        <v>156131.01008138558</v>
      </c>
      <c r="G41" s="139">
        <f>G37*G17</f>
        <v>153055.12940520831</v>
      </c>
      <c r="H41" s="139">
        <f>H37*H16</f>
        <v>150010.95352833174</v>
      </c>
      <c r="I41" s="139">
        <f>I37*I15</f>
        <v>149328.44306538146</v>
      </c>
      <c r="J41" s="139">
        <f>J37*J14</f>
        <v>145894.28489135727</v>
      </c>
      <c r="K41" s="73"/>
      <c r="L41" s="140"/>
    </row>
    <row r="42" spans="1:12" s="466" customFormat="1" ht="12.75">
      <c r="D42" s="140"/>
      <c r="E42" s="140"/>
      <c r="F42" s="140"/>
      <c r="G42" s="140"/>
      <c r="H42" s="140"/>
      <c r="I42" s="140"/>
      <c r="J42" s="140"/>
      <c r="K42" s="140"/>
      <c r="L42" s="140"/>
    </row>
    <row r="43" spans="1:12" s="466" customFormat="1" ht="12.75">
      <c r="A43" s="467"/>
      <c r="B43" s="467" t="s">
        <v>254</v>
      </c>
      <c r="C43" s="467"/>
      <c r="D43" s="467"/>
      <c r="E43" s="467"/>
      <c r="F43" s="467"/>
      <c r="G43" s="467"/>
      <c r="H43" s="467"/>
      <c r="I43" s="467"/>
      <c r="J43" s="467"/>
      <c r="K43" s="467"/>
    </row>
    <row r="44" spans="1:12" s="466" customFormat="1" ht="12.75"/>
    <row r="45" spans="1:12" s="466" customFormat="1" ht="12.75">
      <c r="C45" s="252" t="s">
        <v>197</v>
      </c>
      <c r="D45" s="518" t="s">
        <v>294</v>
      </c>
      <c r="E45" s="518"/>
      <c r="F45" s="518"/>
      <c r="G45" s="518"/>
      <c r="H45" s="518"/>
      <c r="I45" s="518"/>
      <c r="J45" s="518"/>
      <c r="K45" s="252"/>
    </row>
    <row r="46" spans="1:12" s="466" customFormat="1" ht="12.75">
      <c r="B46" s="252"/>
      <c r="C46" s="26" t="s">
        <v>8</v>
      </c>
      <c r="D46" s="77">
        <f t="shared" ref="D46:J46" si="17">+D9</f>
        <v>12</v>
      </c>
      <c r="E46" s="77">
        <f t="shared" si="17"/>
        <v>24</v>
      </c>
      <c r="F46" s="77">
        <f t="shared" si="17"/>
        <v>36</v>
      </c>
      <c r="G46" s="77">
        <f t="shared" si="17"/>
        <v>48</v>
      </c>
      <c r="H46" s="77">
        <f t="shared" si="17"/>
        <v>60</v>
      </c>
      <c r="I46" s="77">
        <f t="shared" si="17"/>
        <v>72</v>
      </c>
      <c r="J46" s="77">
        <f t="shared" si="17"/>
        <v>84</v>
      </c>
      <c r="K46" s="77"/>
      <c r="L46" s="26"/>
    </row>
    <row r="47" spans="1:12" s="466" customFormat="1" ht="4.5" customHeight="1"/>
    <row r="48" spans="1:12" s="466" customFormat="1" ht="12.75">
      <c r="B48" s="252"/>
      <c r="C48" s="252">
        <f t="shared" ref="C48:C57" si="18">+C11</f>
        <v>2012</v>
      </c>
      <c r="D48" s="363"/>
      <c r="E48" s="363"/>
      <c r="F48" s="363"/>
      <c r="G48" s="363"/>
      <c r="H48" s="363"/>
      <c r="I48" s="363"/>
      <c r="J48" s="363">
        <v>115362.10807370802</v>
      </c>
      <c r="K48" s="73"/>
    </row>
    <row r="49" spans="1:12" s="466" customFormat="1" ht="12.75">
      <c r="B49" s="252"/>
      <c r="C49" s="252">
        <f t="shared" si="18"/>
        <v>2013</v>
      </c>
      <c r="D49" s="363"/>
      <c r="E49" s="363"/>
      <c r="F49" s="363"/>
      <c r="G49" s="363"/>
      <c r="H49" s="363"/>
      <c r="I49" s="363">
        <v>119960.66399400179</v>
      </c>
      <c r="J49" s="363">
        <v>124639.24993045897</v>
      </c>
      <c r="K49" s="73"/>
    </row>
    <row r="50" spans="1:12" s="466" customFormat="1" ht="12.75">
      <c r="C50" s="252">
        <f t="shared" si="18"/>
        <v>2014</v>
      </c>
      <c r="D50" s="363"/>
      <c r="E50" s="363"/>
      <c r="F50" s="363"/>
      <c r="G50" s="363"/>
      <c r="H50" s="363">
        <v>119990.02001745593</v>
      </c>
      <c r="I50" s="363">
        <v>126657.46586317931</v>
      </c>
      <c r="J50" s="363">
        <v>130554.99999999999</v>
      </c>
      <c r="K50" s="73"/>
    </row>
    <row r="51" spans="1:12" s="466" customFormat="1" ht="12.75">
      <c r="C51" s="252">
        <f t="shared" si="18"/>
        <v>2015</v>
      </c>
      <c r="D51" s="363"/>
      <c r="E51" s="363"/>
      <c r="F51" s="363"/>
      <c r="G51" s="363">
        <v>115937.73660233933</v>
      </c>
      <c r="H51" s="363">
        <v>126755.99195718563</v>
      </c>
      <c r="I51" s="363">
        <v>132244</v>
      </c>
      <c r="J51" s="363">
        <v>135967</v>
      </c>
      <c r="K51" s="73"/>
    </row>
    <row r="52" spans="1:12" s="466" customFormat="1" ht="13.15" customHeight="1">
      <c r="C52" s="252">
        <f t="shared" si="18"/>
        <v>2016</v>
      </c>
      <c r="D52" s="363"/>
      <c r="E52" s="363"/>
      <c r="F52" s="363">
        <v>103859.99999999999</v>
      </c>
      <c r="G52" s="363">
        <v>121585.99999999999</v>
      </c>
      <c r="H52" s="363">
        <v>130436.99999999999</v>
      </c>
      <c r="I52" s="363">
        <v>135861</v>
      </c>
      <c r="J52" s="363"/>
      <c r="K52" s="73"/>
    </row>
    <row r="53" spans="1:12" s="466" customFormat="1" ht="13.15" customHeight="1">
      <c r="C53" s="252">
        <f t="shared" si="18"/>
        <v>2017</v>
      </c>
      <c r="D53" s="363"/>
      <c r="E53" s="363">
        <v>80736.000000000015</v>
      </c>
      <c r="F53" s="363">
        <v>107524.00000000001</v>
      </c>
      <c r="G53" s="363">
        <v>122292</v>
      </c>
      <c r="H53" s="363">
        <v>131112</v>
      </c>
      <c r="I53" s="363"/>
      <c r="J53" s="363"/>
      <c r="K53" s="73"/>
    </row>
    <row r="54" spans="1:12" s="466" customFormat="1" ht="13.15" customHeight="1">
      <c r="C54" s="252">
        <f t="shared" si="18"/>
        <v>2018</v>
      </c>
      <c r="D54" s="363">
        <v>37254.000000000007</v>
      </c>
      <c r="E54" s="363">
        <v>82615.000000000015</v>
      </c>
      <c r="F54" s="363">
        <v>107185.00000000001</v>
      </c>
      <c r="G54" s="363">
        <v>122951</v>
      </c>
      <c r="H54" s="363"/>
      <c r="I54" s="363"/>
      <c r="J54" s="363"/>
      <c r="K54" s="73"/>
    </row>
    <row r="55" spans="1:12" s="466" customFormat="1" ht="12.75">
      <c r="C55" s="252">
        <f t="shared" si="18"/>
        <v>2019</v>
      </c>
      <c r="D55" s="363">
        <v>37947</v>
      </c>
      <c r="E55" s="363">
        <v>80502</v>
      </c>
      <c r="F55" s="363">
        <v>105790</v>
      </c>
      <c r="G55" s="363"/>
      <c r="H55" s="363"/>
      <c r="I55" s="363"/>
      <c r="J55" s="363"/>
      <c r="K55" s="73"/>
    </row>
    <row r="56" spans="1:12" s="466" customFormat="1" ht="12.75">
      <c r="C56" s="252">
        <f t="shared" si="18"/>
        <v>2020</v>
      </c>
      <c r="D56" s="363">
        <v>31842</v>
      </c>
      <c r="E56" s="363">
        <v>68458</v>
      </c>
      <c r="F56" s="363"/>
      <c r="G56" s="363"/>
      <c r="H56" s="363"/>
      <c r="I56" s="363"/>
      <c r="J56" s="363"/>
      <c r="K56" s="73"/>
    </row>
    <row r="57" spans="1:12" s="466" customFormat="1" ht="12.75">
      <c r="C57" s="252">
        <f t="shared" si="18"/>
        <v>2021</v>
      </c>
      <c r="D57" s="363">
        <v>36793</v>
      </c>
      <c r="E57" s="375"/>
      <c r="F57" s="363"/>
      <c r="G57" s="363"/>
      <c r="H57" s="363"/>
      <c r="I57" s="363"/>
      <c r="J57" s="363"/>
      <c r="K57" s="73"/>
    </row>
    <row r="58" spans="1:12" s="466" customFormat="1" ht="12.75">
      <c r="C58" s="252"/>
    </row>
    <row r="59" spans="1:12" s="466" customFormat="1" ht="12.75">
      <c r="B59" s="466" t="s">
        <v>484</v>
      </c>
    </row>
    <row r="60" spans="1:12" ht="45" customHeight="1">
      <c r="A60" s="466"/>
      <c r="B60" s="466"/>
      <c r="C60" s="252"/>
      <c r="D60" s="208"/>
      <c r="E60" s="208"/>
      <c r="F60" s="208"/>
      <c r="G60" s="209"/>
      <c r="H60" s="209"/>
      <c r="I60" s="209"/>
      <c r="J60" s="208"/>
      <c r="K60" s="208"/>
      <c r="L60" s="143" t="s">
        <v>363</v>
      </c>
    </row>
    <row r="61" spans="1:12" s="466" customFormat="1" ht="12.75">
      <c r="A61" s="245" t="s">
        <v>35</v>
      </c>
      <c r="B61" s="245"/>
      <c r="C61" s="245"/>
      <c r="D61" s="245"/>
      <c r="E61" s="245"/>
      <c r="F61" s="245"/>
      <c r="G61" s="245"/>
      <c r="H61" s="245"/>
      <c r="I61" s="245"/>
      <c r="J61" s="245"/>
      <c r="K61" s="245"/>
      <c r="L61" s="245"/>
    </row>
    <row r="62" spans="1:12" s="466" customFormat="1" ht="12.75">
      <c r="A62" s="245" t="s">
        <v>247</v>
      </c>
      <c r="B62" s="245"/>
      <c r="C62" s="245"/>
      <c r="D62" s="245"/>
      <c r="E62" s="245"/>
      <c r="F62" s="245"/>
      <c r="G62" s="245"/>
      <c r="H62" s="245"/>
      <c r="I62" s="245"/>
      <c r="J62" s="245"/>
      <c r="K62" s="245"/>
      <c r="L62" s="245"/>
    </row>
    <row r="63" spans="1:12" s="466" customFormat="1" ht="12.75">
      <c r="A63" s="245" t="s">
        <v>248</v>
      </c>
      <c r="B63" s="245"/>
      <c r="C63" s="245"/>
      <c r="D63" s="245"/>
      <c r="E63" s="245"/>
      <c r="F63" s="245"/>
      <c r="G63" s="245"/>
      <c r="H63" s="245"/>
      <c r="I63" s="245"/>
      <c r="J63" s="245"/>
      <c r="K63" s="245"/>
      <c r="L63" s="245"/>
    </row>
    <row r="64" spans="1:12" s="466" customFormat="1" ht="12.75">
      <c r="A64" s="298"/>
      <c r="B64" s="298"/>
      <c r="C64" s="298"/>
      <c r="D64" s="298"/>
      <c r="E64" s="298"/>
      <c r="F64" s="298"/>
      <c r="G64" s="298"/>
      <c r="H64" s="298"/>
      <c r="I64" s="298"/>
      <c r="J64" s="298"/>
      <c r="K64" s="298"/>
      <c r="L64" s="298"/>
    </row>
    <row r="65" spans="1:12" s="466" customFormat="1" ht="12.75"/>
    <row r="66" spans="1:12" s="466" customFormat="1" ht="12.75">
      <c r="A66" s="467"/>
      <c r="B66" s="467" t="s">
        <v>295</v>
      </c>
      <c r="C66" s="467"/>
      <c r="D66" s="467"/>
      <c r="E66" s="467"/>
      <c r="F66" s="467"/>
      <c r="G66" s="467"/>
      <c r="H66" s="467"/>
      <c r="I66" s="467"/>
      <c r="J66" s="467"/>
      <c r="K66" s="467"/>
    </row>
    <row r="67" spans="1:12" s="466" customFormat="1" ht="12.75"/>
    <row r="68" spans="1:12" s="466" customFormat="1" ht="12.75">
      <c r="C68" s="252" t="s">
        <v>197</v>
      </c>
      <c r="D68" s="518" t="s">
        <v>294</v>
      </c>
      <c r="E68" s="518"/>
      <c r="F68" s="518"/>
      <c r="G68" s="518"/>
      <c r="H68" s="518"/>
      <c r="I68" s="518"/>
      <c r="J68" s="518"/>
      <c r="K68" s="252"/>
    </row>
    <row r="69" spans="1:12" s="466" customFormat="1" ht="12.75">
      <c r="C69" s="26" t="s">
        <v>8</v>
      </c>
      <c r="D69" s="77">
        <f t="shared" ref="D69:J69" si="19">D46</f>
        <v>12</v>
      </c>
      <c r="E69" s="77">
        <f t="shared" si="19"/>
        <v>24</v>
      </c>
      <c r="F69" s="77">
        <f t="shared" si="19"/>
        <v>36</v>
      </c>
      <c r="G69" s="77">
        <f t="shared" si="19"/>
        <v>48</v>
      </c>
      <c r="H69" s="77">
        <f t="shared" si="19"/>
        <v>60</v>
      </c>
      <c r="I69" s="77">
        <f t="shared" si="19"/>
        <v>72</v>
      </c>
      <c r="J69" s="77">
        <f t="shared" si="19"/>
        <v>84</v>
      </c>
      <c r="K69" s="77"/>
      <c r="L69" s="26"/>
    </row>
    <row r="70" spans="1:12" s="466" customFormat="1" ht="4.5" customHeight="1"/>
    <row r="71" spans="1:12" s="466" customFormat="1" ht="12.75">
      <c r="C71" s="252">
        <f t="shared" ref="C71:C80" si="20">C48</f>
        <v>2012</v>
      </c>
      <c r="D71" s="475"/>
      <c r="E71" s="475"/>
      <c r="F71" s="475"/>
      <c r="G71" s="475"/>
      <c r="H71" s="481"/>
      <c r="I71" s="481"/>
      <c r="J71" s="481">
        <v>0.91543021999265206</v>
      </c>
      <c r="K71" s="475"/>
      <c r="L71" s="475"/>
    </row>
    <row r="72" spans="1:12" s="466" customFormat="1" ht="12.75">
      <c r="C72" s="252">
        <f t="shared" si="20"/>
        <v>2013</v>
      </c>
      <c r="D72" s="475"/>
      <c r="E72" s="475"/>
      <c r="F72" s="475"/>
      <c r="G72" s="475"/>
      <c r="H72" s="481"/>
      <c r="I72" s="481">
        <v>0.89093996729495428</v>
      </c>
      <c r="J72" s="481">
        <v>0.92568751755378098</v>
      </c>
      <c r="K72" s="475"/>
      <c r="L72" s="475"/>
    </row>
    <row r="73" spans="1:12" s="466" customFormat="1" ht="12.75">
      <c r="C73" s="252">
        <f t="shared" si="20"/>
        <v>2014</v>
      </c>
      <c r="D73" s="475"/>
      <c r="E73" s="475"/>
      <c r="F73" s="475"/>
      <c r="G73" s="475"/>
      <c r="H73" s="481">
        <v>0.8534825126784199</v>
      </c>
      <c r="I73" s="481">
        <v>0.90090769381204616</v>
      </c>
      <c r="J73" s="481">
        <v>0.92863064300281795</v>
      </c>
      <c r="K73" s="475"/>
      <c r="L73" s="475"/>
    </row>
    <row r="74" spans="1:12" s="466" customFormat="1" ht="12.75">
      <c r="C74" s="252">
        <f t="shared" si="20"/>
        <v>2015</v>
      </c>
      <c r="D74" s="475"/>
      <c r="E74" s="475"/>
      <c r="F74" s="475"/>
      <c r="G74" s="141">
        <f t="shared" ref="G74" si="21">G51/HLOOKUP($C74,$D$40:$J$41,2,FALSE)</f>
        <v>0.79466948749003008</v>
      </c>
      <c r="H74" s="141">
        <f t="shared" ref="H74:J75" si="22">H51/HLOOKUP($C74,$D$40:$J$41,2,FALSE)</f>
        <v>0.86882081811207823</v>
      </c>
      <c r="I74" s="141">
        <f t="shared" si="22"/>
        <v>0.90643715138312519</v>
      </c>
      <c r="J74" s="141">
        <f t="shared" si="22"/>
        <v>0.93195562870231829</v>
      </c>
      <c r="K74" s="475"/>
    </row>
    <row r="75" spans="1:12" s="466" customFormat="1" ht="12.75">
      <c r="C75" s="252">
        <f t="shared" si="20"/>
        <v>2016</v>
      </c>
      <c r="D75" s="475"/>
      <c r="E75" s="475"/>
      <c r="F75" s="141">
        <f t="shared" ref="F75:H75" si="23">F52/HLOOKUP($C75,$D$40:$J$41,2,FALSE)</f>
        <v>0.69551384765008417</v>
      </c>
      <c r="G75" s="141">
        <f t="shared" si="23"/>
        <v>0.8142186277718384</v>
      </c>
      <c r="H75" s="141">
        <f t="shared" si="23"/>
        <v>0.87349065805829029</v>
      </c>
      <c r="I75" s="141">
        <f t="shared" si="22"/>
        <v>0.90981327609847962</v>
      </c>
      <c r="J75" s="475"/>
      <c r="K75" s="475"/>
    </row>
    <row r="76" spans="1:12" s="466" customFormat="1" ht="12.75">
      <c r="C76" s="252">
        <f t="shared" si="20"/>
        <v>2017</v>
      </c>
      <c r="D76" s="475"/>
      <c r="E76" s="141">
        <f t="shared" ref="D76:E79" si="24">E53/HLOOKUP($C76,$D$40:$J$41,2,FALSE)</f>
        <v>0.53820069868932507</v>
      </c>
      <c r="F76" s="141">
        <f t="shared" ref="F76:H76" si="25">F53/HLOOKUP($C76,$D$40:$J$41,2,FALSE)</f>
        <v>0.71677432528080387</v>
      </c>
      <c r="G76" s="141">
        <f t="shared" si="25"/>
        <v>0.81522046972992135</v>
      </c>
      <c r="H76" s="141">
        <f t="shared" si="25"/>
        <v>0.87401617626033956</v>
      </c>
      <c r="I76" s="475"/>
      <c r="J76" s="475"/>
      <c r="K76" s="475"/>
    </row>
    <row r="77" spans="1:12" s="466" customFormat="1" ht="12.75">
      <c r="C77" s="252">
        <f t="shared" si="20"/>
        <v>2018</v>
      </c>
      <c r="D77" s="141">
        <f t="shared" si="24"/>
        <v>0.24340249258403679</v>
      </c>
      <c r="E77" s="141">
        <f t="shared" si="24"/>
        <v>0.5397728277454823</v>
      </c>
      <c r="F77" s="141">
        <f t="shared" ref="F77" si="26">F54/HLOOKUP($C77,$D$40:$J$41,2,FALSE)</f>
        <v>0.70030322026144798</v>
      </c>
      <c r="G77" s="141">
        <f>G54/HLOOKUP($C77,$D$40:$J$41,2,FALSE)</f>
        <v>0.80331185552423634</v>
      </c>
      <c r="H77" s="475"/>
      <c r="I77" s="475"/>
      <c r="J77" s="475"/>
      <c r="K77" s="475"/>
    </row>
    <row r="78" spans="1:12" s="466" customFormat="1" ht="12.75">
      <c r="C78" s="252">
        <f t="shared" si="20"/>
        <v>2019</v>
      </c>
      <c r="D78" s="141">
        <f t="shared" si="24"/>
        <v>0.24304588806682009</v>
      </c>
      <c r="E78" s="141">
        <f t="shared" si="24"/>
        <v>0.51560545184481388</v>
      </c>
      <c r="F78" s="141">
        <f>F55/HLOOKUP($C78,$D$40:$J$41,2,FALSE)</f>
        <v>0.67757199511394572</v>
      </c>
      <c r="G78" s="475"/>
      <c r="H78" s="475"/>
      <c r="I78" s="475"/>
      <c r="J78" s="475"/>
      <c r="K78" s="475"/>
    </row>
    <row r="79" spans="1:12" s="466" customFormat="1" ht="12.75">
      <c r="C79" s="252">
        <f t="shared" si="20"/>
        <v>2020</v>
      </c>
      <c r="D79" s="141">
        <f t="shared" si="24"/>
        <v>0.23412248951687725</v>
      </c>
      <c r="E79" s="141">
        <f>E56/HLOOKUP($C79,$D$40:$J$41,2,FALSE)</f>
        <v>0.50334644140903162</v>
      </c>
      <c r="F79" s="475"/>
      <c r="G79" s="475"/>
      <c r="H79" s="475"/>
      <c r="I79" s="475"/>
      <c r="J79" s="475"/>
      <c r="K79" s="475"/>
    </row>
    <row r="80" spans="1:12" s="466" customFormat="1" ht="12.75">
      <c r="C80" s="252">
        <f t="shared" si="20"/>
        <v>2021</v>
      </c>
      <c r="D80" s="141">
        <f>D57/HLOOKUP($C80,$D$40:$J$41,2,FALSE)</f>
        <v>0.24529530931934157</v>
      </c>
      <c r="E80" s="475"/>
      <c r="F80" s="475"/>
      <c r="G80" s="475"/>
      <c r="H80" s="475"/>
      <c r="I80" s="475"/>
      <c r="J80" s="475"/>
      <c r="K80" s="475"/>
    </row>
    <row r="81" spans="1:12" s="466" customFormat="1" ht="12.75">
      <c r="C81" s="252"/>
      <c r="D81" s="475"/>
      <c r="F81" s="475"/>
      <c r="G81" s="475"/>
      <c r="H81" s="475"/>
      <c r="I81" s="475"/>
      <c r="J81" s="475"/>
      <c r="K81" s="475"/>
    </row>
    <row r="82" spans="1:12" s="466" customFormat="1" ht="12.75">
      <c r="A82" s="467"/>
      <c r="B82" s="467" t="s">
        <v>296</v>
      </c>
      <c r="C82" s="467"/>
      <c r="D82" s="467"/>
      <c r="E82" s="467"/>
      <c r="F82" s="467"/>
      <c r="G82" s="467"/>
      <c r="H82" s="467"/>
      <c r="I82" s="467"/>
      <c r="J82" s="467"/>
      <c r="K82" s="467"/>
      <c r="L82" s="467"/>
    </row>
    <row r="83" spans="1:12" s="466" customFormat="1" ht="12.75"/>
    <row r="84" spans="1:12" s="466" customFormat="1" ht="12.75">
      <c r="C84" s="252" t="s">
        <v>197</v>
      </c>
      <c r="D84" s="518" t="s">
        <v>294</v>
      </c>
      <c r="E84" s="518"/>
      <c r="F84" s="518"/>
      <c r="G84" s="518"/>
      <c r="H84" s="518"/>
      <c r="I84" s="518"/>
      <c r="J84" s="518"/>
      <c r="K84" s="252"/>
    </row>
    <row r="85" spans="1:12" s="466" customFormat="1" ht="12.75">
      <c r="C85" s="26" t="s">
        <v>8</v>
      </c>
      <c r="D85" s="77">
        <f t="shared" ref="D85:J85" si="27">+D69</f>
        <v>12</v>
      </c>
      <c r="E85" s="77">
        <f t="shared" si="27"/>
        <v>24</v>
      </c>
      <c r="F85" s="77">
        <f t="shared" si="27"/>
        <v>36</v>
      </c>
      <c r="G85" s="77">
        <f t="shared" si="27"/>
        <v>48</v>
      </c>
      <c r="H85" s="77">
        <f t="shared" si="27"/>
        <v>60</v>
      </c>
      <c r="I85" s="77">
        <f t="shared" si="27"/>
        <v>72</v>
      </c>
      <c r="J85" s="77">
        <f t="shared" si="27"/>
        <v>84</v>
      </c>
      <c r="K85" s="77"/>
    </row>
    <row r="86" spans="1:12" s="466" customFormat="1" ht="4.5" customHeight="1"/>
    <row r="87" spans="1:12" s="466" customFormat="1" ht="12.75">
      <c r="C87" s="252">
        <f t="shared" ref="C87:C96" si="28">+C71</f>
        <v>2012</v>
      </c>
      <c r="D87" s="156"/>
      <c r="E87" s="156"/>
      <c r="F87" s="156"/>
      <c r="G87" s="156"/>
      <c r="H87" s="482"/>
      <c r="I87" s="482"/>
      <c r="J87" s="482">
        <v>117444.63270954756</v>
      </c>
      <c r="K87" s="156"/>
    </row>
    <row r="88" spans="1:12" s="466" customFormat="1" ht="12.75">
      <c r="C88" s="252">
        <f t="shared" si="28"/>
        <v>2013</v>
      </c>
      <c r="D88" s="156"/>
      <c r="E88" s="156"/>
      <c r="F88" s="156"/>
      <c r="G88" s="156"/>
      <c r="H88" s="482"/>
      <c r="I88" s="482">
        <v>122501.86176146619</v>
      </c>
      <c r="J88" s="482">
        <v>125483.22012258059</v>
      </c>
      <c r="K88" s="156"/>
    </row>
    <row r="89" spans="1:12" s="466" customFormat="1" ht="12.75">
      <c r="C89" s="252">
        <f t="shared" si="28"/>
        <v>2014</v>
      </c>
      <c r="D89" s="156"/>
      <c r="E89" s="156"/>
      <c r="F89" s="156"/>
      <c r="G89" s="156"/>
      <c r="H89" s="482">
        <v>122876.82164212446</v>
      </c>
      <c r="I89" s="482">
        <v>127909.49034047389</v>
      </c>
      <c r="J89" s="482">
        <v>131022.45550695437</v>
      </c>
      <c r="K89" s="156"/>
    </row>
    <row r="90" spans="1:12" s="466" customFormat="1" ht="12.75">
      <c r="C90" s="252">
        <f t="shared" si="28"/>
        <v>2015</v>
      </c>
      <c r="D90" s="156"/>
      <c r="E90" s="156"/>
      <c r="F90" s="156"/>
      <c r="G90" s="142">
        <f>HLOOKUP($C90,$D$40:$J$41,2,FALSE)*G$77</f>
        <v>117198.60870645776</v>
      </c>
      <c r="H90" s="142">
        <f>HLOOKUP($C90,$D$40:$J$41,2,FALSE)*H$76</f>
        <v>127513.96501898071</v>
      </c>
      <c r="I90" s="142">
        <f>HLOOKUP($C90,$D$40:$J$41,2,FALSE)*I$75</f>
        <v>132736.55730105066</v>
      </c>
      <c r="J90" s="142">
        <f>HLOOKUP($C90,$D$40:$J$41,2,FALSE)*J$74</f>
        <v>135967</v>
      </c>
      <c r="K90" s="156"/>
    </row>
    <row r="91" spans="1:12" s="466" customFormat="1" ht="12.75">
      <c r="C91" s="252">
        <f t="shared" si="28"/>
        <v>2016</v>
      </c>
      <c r="D91" s="156"/>
      <c r="E91" s="156"/>
      <c r="F91" s="142">
        <f>HLOOKUP($C91,$D$40:$J$41,2,FALSE)*F$78</f>
        <v>101180.77109506977</v>
      </c>
      <c r="G91" s="142">
        <f>HLOOKUP($C91,$D$40:$J$41,2,FALSE)*G$77</f>
        <v>119957.30868139687</v>
      </c>
      <c r="H91" s="142">
        <f t="shared" ref="H91:H92" si="29">HLOOKUP($C91,$D$40:$J$41,2,FALSE)*H$76</f>
        <v>130515.47481491453</v>
      </c>
      <c r="I91" s="142">
        <f>HLOOKUP($C91,$D$40:$J$41,2,FALSE)*I$75</f>
        <v>135861</v>
      </c>
      <c r="J91" s="156"/>
      <c r="K91" s="156"/>
    </row>
    <row r="92" spans="1:12" s="466" customFormat="1" ht="12.75">
      <c r="C92" s="252">
        <f t="shared" si="28"/>
        <v>2017</v>
      </c>
      <c r="D92" s="156"/>
      <c r="E92" s="142">
        <f t="shared" ref="E92" si="30">HLOOKUP($C92,$D$40:$J$41,2,FALSE)*E$79</f>
        <v>75507.479630861402</v>
      </c>
      <c r="F92" s="142">
        <f>HLOOKUP($C92,$D$40:$J$41,2,FALSE)*F$78</f>
        <v>101643.22107113713</v>
      </c>
      <c r="G92" s="142">
        <f>HLOOKUP($C92,$D$40:$J$41,2,FALSE)*G$77</f>
        <v>120505.57742780415</v>
      </c>
      <c r="H92" s="142">
        <f t="shared" si="29"/>
        <v>131112</v>
      </c>
      <c r="I92" s="156"/>
      <c r="J92" s="156"/>
      <c r="K92" s="156"/>
    </row>
    <row r="93" spans="1:12" s="466" customFormat="1" ht="12.75">
      <c r="C93" s="252">
        <f t="shared" si="28"/>
        <v>2018</v>
      </c>
      <c r="D93" s="142">
        <f t="shared" ref="D93:D96" si="31">HLOOKUP($C93,$D$40:$J$41,2,FALSE)*D$80</f>
        <v>37543.705310362428</v>
      </c>
      <c r="E93" s="142">
        <f>HLOOKUP($C93,$D$40:$J$41,2,FALSE)*E$79</f>
        <v>77039.754725510444</v>
      </c>
      <c r="F93" s="142">
        <f>HLOOKUP($C93,$D$40:$J$41,2,FALSE)*F$78</f>
        <v>103705.86939351013</v>
      </c>
      <c r="G93" s="142">
        <f>HLOOKUP($C93,$D$40:$J$41,2,FALSE)*G$77</f>
        <v>122951</v>
      </c>
      <c r="H93" s="156"/>
      <c r="I93" s="156"/>
      <c r="J93" s="156"/>
      <c r="K93" s="156"/>
    </row>
    <row r="94" spans="1:12" s="466" customFormat="1" ht="12.75">
      <c r="C94" s="252">
        <f t="shared" si="28"/>
        <v>2019</v>
      </c>
      <c r="D94" s="142">
        <f t="shared" si="31"/>
        <v>38298.204412254716</v>
      </c>
      <c r="E94" s="142">
        <f t="shared" ref="E94:E95" si="32">HLOOKUP($C94,$D$40:$J$41,2,FALSE)*E$79</f>
        <v>78587.988318063071</v>
      </c>
      <c r="F94" s="142">
        <f>HLOOKUP($C94,$D$40:$J$41,2,FALSE)*F$78</f>
        <v>105790</v>
      </c>
      <c r="G94" s="156"/>
      <c r="H94" s="156"/>
      <c r="I94" s="156"/>
      <c r="J94" s="156"/>
      <c r="K94" s="156"/>
    </row>
    <row r="95" spans="1:12" s="466" customFormat="1" ht="12.75">
      <c r="C95" s="252">
        <f t="shared" si="28"/>
        <v>2020</v>
      </c>
      <c r="D95" s="142">
        <f t="shared" si="31"/>
        <v>33361.567508803644</v>
      </c>
      <c r="E95" s="142">
        <f t="shared" si="32"/>
        <v>68458</v>
      </c>
      <c r="F95" s="156"/>
      <c r="G95" s="156"/>
      <c r="H95" s="156"/>
      <c r="I95" s="156"/>
      <c r="J95" s="156"/>
      <c r="K95" s="156"/>
    </row>
    <row r="96" spans="1:12" s="466" customFormat="1" ht="12.75">
      <c r="C96" s="252">
        <f t="shared" si="28"/>
        <v>2021</v>
      </c>
      <c r="D96" s="142">
        <f t="shared" si="31"/>
        <v>36793</v>
      </c>
      <c r="E96" s="156"/>
      <c r="F96" s="156"/>
      <c r="G96" s="156"/>
      <c r="H96" s="156"/>
      <c r="I96" s="156"/>
      <c r="J96" s="156"/>
      <c r="K96" s="156"/>
    </row>
    <row r="97" spans="1:11" s="466" customFormat="1" ht="12.75">
      <c r="C97" s="252"/>
      <c r="D97" s="156"/>
      <c r="F97" s="156"/>
      <c r="G97" s="156"/>
      <c r="H97" s="156"/>
      <c r="I97" s="156"/>
      <c r="J97" s="156"/>
      <c r="K97" s="156"/>
    </row>
    <row r="98" spans="1:11" s="466" customFormat="1" ht="12.75">
      <c r="A98" s="467"/>
      <c r="B98" s="467" t="s">
        <v>273</v>
      </c>
      <c r="C98" s="467"/>
      <c r="D98" s="467"/>
      <c r="E98" s="467"/>
      <c r="F98" s="467"/>
      <c r="G98" s="467"/>
      <c r="H98" s="467"/>
      <c r="I98" s="467"/>
      <c r="J98" s="467"/>
      <c r="K98" s="467"/>
    </row>
    <row r="99" spans="1:11" s="466" customFormat="1" ht="12.75"/>
    <row r="100" spans="1:11" s="466" customFormat="1" ht="12.75">
      <c r="C100" s="252" t="s">
        <v>197</v>
      </c>
      <c r="D100" s="518" t="s">
        <v>294</v>
      </c>
      <c r="E100" s="518"/>
      <c r="F100" s="518"/>
      <c r="G100" s="518"/>
      <c r="H100" s="518"/>
      <c r="I100" s="518"/>
      <c r="J100" s="518"/>
      <c r="K100" s="252"/>
    </row>
    <row r="101" spans="1:11" s="466" customFormat="1" ht="12.75">
      <c r="C101" s="26" t="s">
        <v>8</v>
      </c>
      <c r="D101" s="77">
        <f t="shared" ref="D101:J101" si="33">+D69</f>
        <v>12</v>
      </c>
      <c r="E101" s="77">
        <f t="shared" si="33"/>
        <v>24</v>
      </c>
      <c r="F101" s="77">
        <f t="shared" si="33"/>
        <v>36</v>
      </c>
      <c r="G101" s="77">
        <f t="shared" si="33"/>
        <v>48</v>
      </c>
      <c r="H101" s="77">
        <f t="shared" si="33"/>
        <v>60</v>
      </c>
      <c r="I101" s="77">
        <f t="shared" si="33"/>
        <v>72</v>
      </c>
      <c r="J101" s="77">
        <f t="shared" si="33"/>
        <v>84</v>
      </c>
      <c r="K101" s="77"/>
    </row>
    <row r="102" spans="1:11" s="466" customFormat="1" ht="4.5" customHeight="1"/>
    <row r="103" spans="1:11" s="466" customFormat="1" ht="12.75">
      <c r="C103" s="252">
        <f t="shared" ref="C103:C110" si="34">+C71</f>
        <v>2012</v>
      </c>
      <c r="D103" s="482"/>
      <c r="E103" s="482"/>
      <c r="F103" s="482"/>
      <c r="G103" s="482"/>
      <c r="H103" s="482"/>
      <c r="I103" s="482"/>
      <c r="J103" s="482">
        <v>21056.977581011772</v>
      </c>
      <c r="K103" s="156"/>
    </row>
    <row r="104" spans="1:11" s="466" customFormat="1" ht="12.75">
      <c r="C104" s="252">
        <f t="shared" si="34"/>
        <v>2013</v>
      </c>
      <c r="D104" s="482"/>
      <c r="E104" s="482"/>
      <c r="F104" s="482"/>
      <c r="G104" s="482"/>
      <c r="H104" s="482"/>
      <c r="I104" s="482">
        <v>18502.252202290139</v>
      </c>
      <c r="J104" s="482">
        <v>19887.08051542025</v>
      </c>
      <c r="K104" s="156"/>
    </row>
    <row r="105" spans="1:11" s="466" customFormat="1" ht="12.75">
      <c r="C105" s="252">
        <f t="shared" si="34"/>
        <v>2014</v>
      </c>
      <c r="D105" s="482"/>
      <c r="E105" s="482"/>
      <c r="F105" s="482"/>
      <c r="G105" s="482"/>
      <c r="H105" s="482">
        <v>16347.456627486166</v>
      </c>
      <c r="I105" s="482">
        <v>18135.894221844268</v>
      </c>
      <c r="J105" s="482">
        <v>19284.682585883351</v>
      </c>
      <c r="K105" s="156"/>
    </row>
    <row r="106" spans="1:11" s="466" customFormat="1" ht="12.75">
      <c r="C106" s="252">
        <f t="shared" si="34"/>
        <v>2015</v>
      </c>
      <c r="D106" s="482"/>
      <c r="E106" s="482"/>
      <c r="F106" s="482"/>
      <c r="G106" s="482">
        <v>13856.344630186883</v>
      </c>
      <c r="H106" s="482">
        <v>16236.412517710936</v>
      </c>
      <c r="I106" s="482">
        <v>17712.697218777412</v>
      </c>
      <c r="J106" s="482">
        <v>18698.698323857996</v>
      </c>
      <c r="K106" s="156"/>
    </row>
    <row r="107" spans="1:11" s="466" customFormat="1" ht="12.75">
      <c r="C107" s="252">
        <f t="shared" si="34"/>
        <v>2016</v>
      </c>
      <c r="D107" s="482"/>
      <c r="E107" s="482"/>
      <c r="F107" s="482">
        <v>10499.779453109957</v>
      </c>
      <c r="G107" s="482">
        <v>13515.756575592584</v>
      </c>
      <c r="H107" s="482">
        <v>15522.832371183023</v>
      </c>
      <c r="I107" s="482">
        <v>16797.251396648044</v>
      </c>
      <c r="J107" s="482"/>
      <c r="K107" s="156"/>
    </row>
    <row r="108" spans="1:11" s="466" customFormat="1" ht="12.75">
      <c r="C108" s="252">
        <f t="shared" si="34"/>
        <v>2017</v>
      </c>
      <c r="D108" s="482"/>
      <c r="E108" s="482">
        <v>6660.4948102457383</v>
      </c>
      <c r="F108" s="482">
        <v>10653.187669729547</v>
      </c>
      <c r="G108" s="482">
        <v>13475.707715958526</v>
      </c>
      <c r="H108" s="482">
        <v>15468.308392824456</v>
      </c>
      <c r="I108" s="482"/>
      <c r="J108" s="482"/>
      <c r="K108" s="156"/>
    </row>
    <row r="109" spans="1:11" s="466" customFormat="1" ht="12.75">
      <c r="C109" s="252">
        <f t="shared" si="34"/>
        <v>2018</v>
      </c>
      <c r="D109" s="482">
        <v>2982.3053631824764</v>
      </c>
      <c r="E109" s="482">
        <v>6974.6493009743981</v>
      </c>
      <c r="F109" s="482">
        <v>11109.601781965759</v>
      </c>
      <c r="G109" s="482">
        <v>13998.798440028955</v>
      </c>
      <c r="H109" s="482"/>
      <c r="I109" s="482"/>
      <c r="J109" s="482"/>
      <c r="K109" s="156"/>
    </row>
    <row r="110" spans="1:11" s="466" customFormat="1" ht="12.75">
      <c r="C110" s="252">
        <f t="shared" si="34"/>
        <v>2019</v>
      </c>
      <c r="D110" s="482">
        <v>3421.7961630695445</v>
      </c>
      <c r="E110" s="482">
        <v>6734.3319544856031</v>
      </c>
      <c r="F110" s="482">
        <v>10799.097135835145</v>
      </c>
      <c r="G110" s="482"/>
      <c r="H110" s="482"/>
      <c r="I110" s="482"/>
      <c r="J110" s="482"/>
      <c r="K110" s="156"/>
    </row>
    <row r="111" spans="1:11" s="466" customFormat="1" ht="12.75">
      <c r="C111" s="252">
        <f>+C79</f>
        <v>2020</v>
      </c>
      <c r="D111" s="482">
        <v>2902.1091869229308</v>
      </c>
      <c r="E111" s="482">
        <v>7022.4149405474891</v>
      </c>
      <c r="F111" s="482"/>
      <c r="G111" s="482"/>
      <c r="H111" s="482"/>
      <c r="I111" s="482"/>
      <c r="J111" s="482"/>
      <c r="K111" s="156"/>
    </row>
    <row r="112" spans="1:11" s="466" customFormat="1" ht="12.75">
      <c r="C112" s="252">
        <f>+C80</f>
        <v>2021</v>
      </c>
      <c r="D112" s="482">
        <v>2960.4046150082895</v>
      </c>
      <c r="E112" s="482"/>
      <c r="F112" s="482"/>
      <c r="G112" s="482"/>
      <c r="H112" s="482"/>
      <c r="I112" s="482"/>
      <c r="J112" s="482"/>
      <c r="K112" s="156"/>
    </row>
    <row r="113" spans="1:12" s="466" customFormat="1" ht="12.75">
      <c r="D113" s="156"/>
      <c r="F113" s="156"/>
      <c r="G113" s="156"/>
      <c r="H113" s="156"/>
      <c r="I113" s="156"/>
      <c r="J113" s="156"/>
      <c r="K113" s="156"/>
    </row>
    <row r="114" spans="1:12" s="466" customFormat="1" ht="25.5" customHeight="1">
      <c r="A114" s="143" t="s">
        <v>22</v>
      </c>
      <c r="B114" s="521" t="s">
        <v>256</v>
      </c>
      <c r="C114" s="521"/>
      <c r="D114" s="521"/>
      <c r="E114" s="521"/>
      <c r="F114" s="521"/>
      <c r="G114" s="521"/>
      <c r="H114" s="521"/>
      <c r="I114" s="521"/>
      <c r="J114" s="521"/>
      <c r="K114" s="521"/>
      <c r="L114" s="470"/>
    </row>
    <row r="115" spans="1:12" s="466" customFormat="1" ht="39.950000000000003" customHeight="1">
      <c r="A115" s="143" t="s">
        <v>28</v>
      </c>
      <c r="B115" s="521" t="s">
        <v>257</v>
      </c>
      <c r="C115" s="521"/>
      <c r="D115" s="521"/>
      <c r="E115" s="521"/>
      <c r="F115" s="521"/>
      <c r="G115" s="521"/>
      <c r="H115" s="521"/>
      <c r="I115" s="521"/>
      <c r="J115" s="521"/>
      <c r="K115" s="521"/>
      <c r="L115" s="470"/>
    </row>
    <row r="116" spans="1:12" s="466" customFormat="1" ht="12.75"/>
    <row r="117" spans="1:12" s="466" customFormat="1" ht="12.75">
      <c r="B117" s="466" t="s">
        <v>484</v>
      </c>
    </row>
    <row r="118" spans="1:12" ht="45" customHeight="1">
      <c r="A118" s="143"/>
      <c r="B118" s="470"/>
      <c r="C118" s="470"/>
      <c r="D118" s="470"/>
      <c r="E118" s="470"/>
      <c r="F118" s="470"/>
      <c r="G118" s="470"/>
      <c r="H118" s="470"/>
      <c r="I118" s="470"/>
      <c r="J118" s="470"/>
      <c r="K118" s="470"/>
      <c r="L118" s="143" t="s">
        <v>364</v>
      </c>
    </row>
    <row r="119" spans="1:12" s="466" customFormat="1" ht="12.75">
      <c r="A119" s="245" t="s">
        <v>35</v>
      </c>
      <c r="B119" s="245"/>
      <c r="C119" s="245"/>
      <c r="D119" s="245"/>
      <c r="E119" s="245"/>
      <c r="F119" s="245"/>
      <c r="G119" s="245"/>
      <c r="H119" s="245"/>
      <c r="I119" s="245"/>
      <c r="J119" s="245"/>
      <c r="K119" s="245"/>
      <c r="L119" s="245"/>
    </row>
    <row r="120" spans="1:12" s="466" customFormat="1" ht="12.75">
      <c r="A120" s="245" t="s">
        <v>247</v>
      </c>
      <c r="B120" s="245"/>
      <c r="C120" s="245"/>
      <c r="D120" s="245"/>
      <c r="E120" s="245"/>
      <c r="F120" s="245"/>
      <c r="G120" s="245"/>
      <c r="H120" s="245"/>
      <c r="I120" s="245"/>
      <c r="J120" s="245"/>
      <c r="K120" s="245"/>
      <c r="L120" s="245"/>
    </row>
    <row r="121" spans="1:12" s="466" customFormat="1" ht="12.75">
      <c r="A121" s="245" t="s">
        <v>248</v>
      </c>
      <c r="B121" s="245"/>
      <c r="C121" s="245"/>
      <c r="D121" s="245"/>
      <c r="E121" s="245"/>
      <c r="F121" s="245"/>
      <c r="G121" s="245"/>
      <c r="H121" s="245"/>
      <c r="I121" s="245"/>
      <c r="J121" s="245"/>
      <c r="K121" s="245"/>
      <c r="L121" s="245"/>
    </row>
    <row r="122" spans="1:12" s="466" customFormat="1" ht="12.75">
      <c r="A122" s="298"/>
      <c r="B122" s="298"/>
      <c r="C122" s="298"/>
      <c r="D122" s="298"/>
      <c r="E122" s="298"/>
      <c r="F122" s="298"/>
      <c r="G122" s="298"/>
      <c r="H122" s="298"/>
      <c r="I122" s="298"/>
      <c r="J122" s="298"/>
      <c r="K122" s="298"/>
      <c r="L122" s="298"/>
    </row>
    <row r="123" spans="1:12" s="466" customFormat="1" ht="12.75"/>
    <row r="124" spans="1:12" s="466" customFormat="1" ht="12.75">
      <c r="A124" s="467"/>
      <c r="B124" s="467" t="s">
        <v>305</v>
      </c>
      <c r="C124" s="467"/>
      <c r="D124" s="467"/>
      <c r="E124" s="467"/>
      <c r="F124" s="467"/>
      <c r="G124" s="467"/>
      <c r="H124" s="467"/>
      <c r="I124" s="467"/>
      <c r="J124" s="467"/>
      <c r="K124" s="467"/>
    </row>
    <row r="125" spans="1:12" s="466" customFormat="1" ht="12.75"/>
    <row r="126" spans="1:12" s="466" customFormat="1" ht="12.75">
      <c r="C126" s="252" t="s">
        <v>197</v>
      </c>
      <c r="D126" s="518" t="s">
        <v>294</v>
      </c>
      <c r="E126" s="518"/>
      <c r="F126" s="518"/>
      <c r="G126" s="518"/>
      <c r="H126" s="518"/>
      <c r="I126" s="518"/>
      <c r="J126" s="518"/>
      <c r="K126" s="252"/>
    </row>
    <row r="127" spans="1:12" s="466" customFormat="1" ht="12.75">
      <c r="C127" s="26" t="s">
        <v>8</v>
      </c>
      <c r="D127" s="77">
        <f t="shared" ref="D127:J127" si="35">D101</f>
        <v>12</v>
      </c>
      <c r="E127" s="77">
        <f t="shared" si="35"/>
        <v>24</v>
      </c>
      <c r="F127" s="77">
        <f t="shared" si="35"/>
        <v>36</v>
      </c>
      <c r="G127" s="77">
        <f t="shared" si="35"/>
        <v>48</v>
      </c>
      <c r="H127" s="77">
        <f t="shared" si="35"/>
        <v>60</v>
      </c>
      <c r="I127" s="77">
        <f t="shared" si="35"/>
        <v>72</v>
      </c>
      <c r="J127" s="77">
        <f t="shared" si="35"/>
        <v>84</v>
      </c>
      <c r="K127" s="77"/>
    </row>
    <row r="128" spans="1:12" s="466" customFormat="1" ht="4.5" customHeight="1"/>
    <row r="129" spans="1:11" s="466" customFormat="1" ht="12.75">
      <c r="C129" s="252">
        <f t="shared" ref="C129:C138" si="36">C103</f>
        <v>2012</v>
      </c>
      <c r="D129" s="156"/>
      <c r="E129" s="156"/>
      <c r="F129" s="156"/>
      <c r="G129" s="156"/>
      <c r="H129" s="156"/>
      <c r="I129" s="156"/>
      <c r="J129" s="508">
        <v>21940.012141642008</v>
      </c>
      <c r="K129" s="156"/>
    </row>
    <row r="130" spans="1:11" s="466" customFormat="1" ht="12.75">
      <c r="C130" s="252">
        <f t="shared" si="36"/>
        <v>2013</v>
      </c>
      <c r="D130" s="156"/>
      <c r="E130" s="156"/>
      <c r="F130" s="156"/>
      <c r="G130" s="156"/>
      <c r="H130" s="156"/>
      <c r="I130" s="142">
        <f>+IF(I88&lt;I49,INDEX(LOGEST(H104:I104,H49:I49),2)*EXP((INDEX(LOGEST(H104:I104,H49:I49),1)-1)*I88),INDEX(LOGEST(I104:J104,I49:J49),2)*EXP((INDEX(LOGEST(I104:J104,I49:J49),1)-1)*I88))</f>
        <v>19242.296557695274</v>
      </c>
      <c r="J130" s="508">
        <v>20177.368897940025</v>
      </c>
      <c r="K130" s="156"/>
    </row>
    <row r="131" spans="1:11" s="466" customFormat="1" ht="12.75">
      <c r="C131" s="252">
        <f t="shared" si="36"/>
        <v>2014</v>
      </c>
      <c r="D131" s="156"/>
      <c r="E131" s="156"/>
      <c r="F131" s="156"/>
      <c r="G131" s="156"/>
      <c r="H131" s="142">
        <f>+IF(H89&lt;H50,INDEX(LOGEST(G105:H105,G50:H50),2)*EXP((INDEX(LOGEST(G105:H105,G50:H50),1)-1)*H89),INDEX(LOGEST(H105:I105,H50:I50),2)*EXP((INDEX(LOGEST(H105:I105,H50:I50),1)-1)*H89))</f>
        <v>17099.315923291266</v>
      </c>
      <c r="I131" s="142">
        <f>+IF(I89&lt;I50,INDEX(LOGEST(H105:I105,H50:I50),2)*EXP((INDEX(LOGEST(H105:I105,H50:I50),1)-1)*I89),INDEX(LOGEST(I105:J105,I50:J50),2)*EXP((INDEX(LOGEST(I105:J105,I50:J50),1)-1)*I89))</f>
        <v>18497.555559411365</v>
      </c>
      <c r="J131" s="508">
        <v>19425.818836732105</v>
      </c>
      <c r="K131" s="156"/>
    </row>
    <row r="132" spans="1:11" s="466" customFormat="1" ht="12.75">
      <c r="C132" s="252">
        <f t="shared" si="36"/>
        <v>2015</v>
      </c>
      <c r="D132" s="156"/>
      <c r="E132" s="156"/>
      <c r="F132" s="156"/>
      <c r="G132" s="142">
        <f>+IF(G90&lt;G51,INDEX(LOGEST(F106:G106,F51:G51),2)*EXP((INDEX(LOGEST(F106:G106,F51:G51),1)-1)*G90),INDEX(LOGEST(G106:H106,G51:H51),2)*EXP((INDEX(LOGEST(G106:H106,G51:H51),1)-1)*G90))</f>
        <v>14114.8944125906</v>
      </c>
      <c r="H132" s="142">
        <f>+IF(H90&lt;H51,INDEX(LOGEST(G106:H106,G51:H51),2)*EXP((INDEX(LOGEST(G106:H106,G51:H51),1)-1)*H90),INDEX(LOGEST(H106:I106,H51:I51),2)*EXP((INDEX(LOGEST(H106:I106,H51:I51),1)-1)*H90))</f>
        <v>16433.006307769967</v>
      </c>
      <c r="I132" s="142">
        <f>+IF(I90&lt;I51,INDEX(LOGEST(H106:I106,H51:I51),2)*EXP((INDEX(LOGEST(H106:I106,H51:I51),1)-1)*I90),INDEX(LOGEST(I106:J106,I51:J51),2)*EXP((INDEX(LOGEST(I106:J106,I51:J51),1)-1)*I90))</f>
        <v>17840.35156883689</v>
      </c>
      <c r="J132" s="142">
        <f>J106</f>
        <v>18698.698323857996</v>
      </c>
      <c r="K132" s="156"/>
    </row>
    <row r="133" spans="1:11" s="466" customFormat="1" ht="12.75">
      <c r="C133" s="252">
        <f t="shared" si="36"/>
        <v>2016</v>
      </c>
      <c r="D133" s="156"/>
      <c r="E133" s="156"/>
      <c r="F133" s="508">
        <v>10019.603173668052</v>
      </c>
      <c r="G133" s="142">
        <f>+IF(G91&lt;G52,INDEX(LOGEST(F107:G107,F52:G52),2)*EXP((INDEX(LOGEST(F107:G107,F52:G52),1)-1)*G91),INDEX(LOGEST(G107:H107,G52:H52),2)*EXP((INDEX(LOGEST(G107:H107,G52:H52),1)-1)*G91))</f>
        <v>13205.957813843426</v>
      </c>
      <c r="H133" s="142">
        <f>+IF(H91&lt;H52,INDEX(LOGEST(G107:H107,G52:H52),2)*EXP((INDEX(LOGEST(G107:H107,G52:H52),1)-1)*H91),INDEX(LOGEST(H107:I107,H52:I52),2)*EXP((INDEX(LOGEST(H107:I107,H52:I52),1)-1)*H91))</f>
        <v>15540.777627040443</v>
      </c>
      <c r="I133" s="142">
        <f>I107</f>
        <v>16797.251396648044</v>
      </c>
      <c r="J133" s="156"/>
      <c r="K133" s="156"/>
    </row>
    <row r="134" spans="1:11" s="466" customFormat="1" ht="12.75">
      <c r="C134" s="252">
        <f t="shared" si="36"/>
        <v>2017</v>
      </c>
      <c r="D134" s="156"/>
      <c r="E134" s="508">
        <v>6029.3606269447328</v>
      </c>
      <c r="F134" s="142">
        <f>+IF(F92&lt;F53,INDEX(LOGEST(E108:F108,E53:F53),2)*EXP((INDEX(LOGEST(E108:F108,E53:F53),1)-1)*F92),INDEX(LOGEST(F108:G108,F53:G53),2)*EXP((INDEX(LOGEST(F108:G108,F53:G53),1)-1)*F92))</f>
        <v>9609.661296132952</v>
      </c>
      <c r="G134" s="142">
        <f>+IF(G92&lt;G53,INDEX(LOGEST(F108:G108,F53:G53),2)*EXP((INDEX(LOGEST(F108:G108,F53:G53),1)-1)*G92),INDEX(LOGEST(G108:H108,G53:H53),2)*EXP((INDEX(LOGEST(G108:H108,G53:H53),1)-1)*G92))</f>
        <v>13098.181110676605</v>
      </c>
      <c r="H134" s="142">
        <f>H108</f>
        <v>15468.308392824456</v>
      </c>
      <c r="I134" s="156"/>
      <c r="J134" s="156"/>
      <c r="K134" s="156"/>
    </row>
    <row r="135" spans="1:11" s="466" customFormat="1" ht="12.75">
      <c r="C135" s="252">
        <f t="shared" si="36"/>
        <v>2018</v>
      </c>
      <c r="D135" s="142">
        <f>INDEX(LOGEST(D109:E109,D54:E54),2)*EXP((INDEX(LOGEST(D109:E109,D54:E54),1)-1)*D93)</f>
        <v>2998.5511202172488</v>
      </c>
      <c r="E135" s="142">
        <f>+IF(E93&lt;E54,INDEX(LOGEST(D109:E109,D54:E54),2)*EXP((INDEX(LOGEST(D109:E109,D54:E54),1)-1)*E93),INDEX(LOGEST(E109:F109,E54:F54),2)*EXP((INDEX(LOGEST(E109:F109,E54:F54),1)-1)*E93))</f>
        <v>6283.1686980787972</v>
      </c>
      <c r="F135" s="142">
        <f>+IF(F93&lt;F54,INDEX(LOGEST(E109:F109,E54:F54),2)*EXP((INDEX(LOGEST(E109:F109,E54:F54),1)-1)*F93),INDEX(LOGEST(F109:G109,F54:G54),2)*EXP((INDEX(LOGEST(F109:G109,F54:G54),1)-1)*F93))</f>
        <v>10401.07636960598</v>
      </c>
      <c r="G135" s="142">
        <f>G109</f>
        <v>13998.798440028955</v>
      </c>
      <c r="H135" s="156"/>
      <c r="I135" s="156"/>
      <c r="J135" s="156"/>
      <c r="K135" s="156"/>
    </row>
    <row r="136" spans="1:11" s="466" customFormat="1" ht="12.75">
      <c r="C136" s="252">
        <f t="shared" si="36"/>
        <v>2019</v>
      </c>
      <c r="D136" s="142">
        <f>INDEX(LOGEST(D110:E110,D55:E55),2)*EXP((INDEX(LOGEST(D110:E110,D55:E55),1)-1)*D94)</f>
        <v>3440.9862846441915</v>
      </c>
      <c r="E136" s="142">
        <f>+IF(E94&lt;E55,INDEX(LOGEST(D110:E110,D55:E55),2)*EXP((INDEX(LOGEST(D110:E110,D55:E55),1)-1)*E94),INDEX(LOGEST(E110:F110,E55:F55),2)*EXP((INDEX(LOGEST(E110:F110,E55:F55),1)-1)*E94))</f>
        <v>6532.4136675122236</v>
      </c>
      <c r="F136" s="142">
        <f>F110</f>
        <v>10799.097135835145</v>
      </c>
      <c r="G136" s="156"/>
      <c r="H136" s="156"/>
      <c r="I136" s="156"/>
      <c r="J136" s="156"/>
      <c r="K136" s="156"/>
    </row>
    <row r="137" spans="1:11" s="466" customFormat="1" ht="12.75">
      <c r="C137" s="252">
        <f t="shared" si="36"/>
        <v>2020</v>
      </c>
      <c r="D137" s="142">
        <f>INDEX(LOGEST(D111:E111,D56:E56),2)*EXP((INDEX(LOGEST(D111:E111,D56:E56),1)-1)*D95)</f>
        <v>3010.541184538894</v>
      </c>
      <c r="E137" s="142">
        <f>E111</f>
        <v>7022.4149405474891</v>
      </c>
      <c r="F137" s="156"/>
      <c r="G137" s="156"/>
      <c r="H137" s="156"/>
      <c r="I137" s="156"/>
      <c r="J137" s="156"/>
      <c r="K137" s="156"/>
    </row>
    <row r="138" spans="1:11" s="466" customFormat="1" ht="12.75">
      <c r="C138" s="252">
        <f t="shared" si="36"/>
        <v>2021</v>
      </c>
      <c r="D138" s="142">
        <f>D112</f>
        <v>2960.4046150082895</v>
      </c>
      <c r="E138" s="156"/>
      <c r="F138" s="156"/>
      <c r="G138" s="156"/>
      <c r="H138" s="156"/>
      <c r="I138" s="156"/>
      <c r="J138" s="156"/>
      <c r="K138" s="156"/>
    </row>
    <row r="139" spans="1:11" s="466" customFormat="1" ht="12.75">
      <c r="D139" s="156"/>
      <c r="F139" s="156"/>
      <c r="G139" s="156"/>
      <c r="H139" s="156"/>
      <c r="I139" s="156"/>
      <c r="J139" s="156"/>
      <c r="K139" s="156"/>
    </row>
    <row r="140" spans="1:11" s="466" customFormat="1" ht="12.75">
      <c r="A140" s="467"/>
      <c r="B140" s="467" t="s">
        <v>306</v>
      </c>
      <c r="C140" s="467"/>
      <c r="D140" s="467"/>
      <c r="E140" s="467"/>
      <c r="F140" s="467"/>
      <c r="G140" s="467"/>
      <c r="H140" s="467"/>
      <c r="I140" s="467"/>
      <c r="J140" s="467"/>
      <c r="K140" s="467"/>
    </row>
    <row r="141" spans="1:11" s="466" customFormat="1" ht="12.75"/>
    <row r="142" spans="1:11" s="466" customFormat="1" ht="12.75">
      <c r="C142" s="252" t="s">
        <v>197</v>
      </c>
      <c r="D142" s="518" t="s">
        <v>294</v>
      </c>
      <c r="E142" s="518"/>
      <c r="F142" s="518"/>
      <c r="G142" s="518"/>
      <c r="H142" s="518"/>
      <c r="I142" s="518"/>
      <c r="J142" s="518"/>
      <c r="K142" s="252"/>
    </row>
    <row r="143" spans="1:11" s="466" customFormat="1" ht="12.75">
      <c r="C143" s="26" t="s">
        <v>8</v>
      </c>
      <c r="D143" s="77">
        <f t="shared" ref="D143:J143" si="37">+D127</f>
        <v>12</v>
      </c>
      <c r="E143" s="77">
        <f t="shared" si="37"/>
        <v>24</v>
      </c>
      <c r="F143" s="77">
        <f t="shared" si="37"/>
        <v>36</v>
      </c>
      <c r="G143" s="77">
        <f t="shared" si="37"/>
        <v>48</v>
      </c>
      <c r="H143" s="77">
        <f t="shared" si="37"/>
        <v>60</v>
      </c>
      <c r="I143" s="77">
        <f t="shared" si="37"/>
        <v>72</v>
      </c>
      <c r="J143" s="77">
        <f t="shared" si="37"/>
        <v>84</v>
      </c>
      <c r="K143" s="77"/>
    </row>
    <row r="144" spans="1:11" s="466" customFormat="1" ht="4.5" customHeight="1"/>
    <row r="145" spans="1:12" s="466" customFormat="1" ht="12.75">
      <c r="C145" s="252">
        <f t="shared" ref="C145:C154" si="38">+C129</f>
        <v>2012</v>
      </c>
      <c r="D145" s="156"/>
      <c r="E145" s="156"/>
      <c r="F145" s="156"/>
      <c r="G145" s="156"/>
      <c r="H145" s="156"/>
      <c r="I145" s="156"/>
      <c r="J145" s="142">
        <f t="shared" ref="J145" si="39">J129*J87/1000</f>
        <v>2576736.6676181592</v>
      </c>
      <c r="K145" s="156"/>
    </row>
    <row r="146" spans="1:12" s="466" customFormat="1" ht="12.75">
      <c r="C146" s="252">
        <f t="shared" si="38"/>
        <v>2013</v>
      </c>
      <c r="D146" s="156"/>
      <c r="E146" s="156"/>
      <c r="F146" s="156"/>
      <c r="G146" s="156"/>
      <c r="H146" s="156"/>
      <c r="I146" s="142">
        <f t="shared" ref="I146:J146" si="40">I130*I88/1000</f>
        <v>2357217.1528839231</v>
      </c>
      <c r="J146" s="142">
        <f t="shared" si="40"/>
        <v>2531921.2229147195</v>
      </c>
      <c r="K146" s="156"/>
    </row>
    <row r="147" spans="1:12" s="466" customFormat="1" ht="12.75">
      <c r="C147" s="252">
        <f t="shared" si="38"/>
        <v>2014</v>
      </c>
      <c r="D147" s="156"/>
      <c r="E147" s="156"/>
      <c r="F147" s="156"/>
      <c r="G147" s="156"/>
      <c r="H147" s="142">
        <f t="shared" ref="H147:I147" si="41">H131*H89/1000</f>
        <v>2101109.5929085994</v>
      </c>
      <c r="I147" s="142">
        <f t="shared" si="41"/>
        <v>2366012.9041489074</v>
      </c>
      <c r="J147" s="142">
        <f>J131*J89/1000</f>
        <v>2545218.4842218887</v>
      </c>
      <c r="K147" s="156"/>
    </row>
    <row r="148" spans="1:12" s="466" customFormat="1" ht="12.75">
      <c r="C148" s="252">
        <f t="shared" si="38"/>
        <v>2015</v>
      </c>
      <c r="D148" s="156"/>
      <c r="E148" s="156"/>
      <c r="F148" s="156"/>
      <c r="G148" s="142">
        <f t="shared" ref="G148:H148" si="42">G132*G90/1000</f>
        <v>1654245.9871941726</v>
      </c>
      <c r="H148" s="142">
        <f t="shared" si="42"/>
        <v>2095437.7914856689</v>
      </c>
      <c r="I148" s="142">
        <f>I132*I90/1000</f>
        <v>2368066.8482878068</v>
      </c>
      <c r="J148" s="142">
        <f t="shared" ref="J148" si="43">J132*J90/1000</f>
        <v>2542405.915</v>
      </c>
      <c r="K148" s="156"/>
    </row>
    <row r="149" spans="1:12" s="466" customFormat="1" ht="12.75">
      <c r="C149" s="252">
        <f t="shared" si="38"/>
        <v>2016</v>
      </c>
      <c r="D149" s="156"/>
      <c r="E149" s="156"/>
      <c r="F149" s="142">
        <f t="shared" ref="F149:G149" si="44">F133*F91/1000</f>
        <v>1013791.1751783418</v>
      </c>
      <c r="G149" s="142">
        <f t="shared" si="44"/>
        <v>1584151.1579087209</v>
      </c>
      <c r="H149" s="142">
        <f>H133*H91/1000</f>
        <v>2028311.9709861842</v>
      </c>
      <c r="I149" s="142">
        <f t="shared" ref="I149" si="45">I133*I91/1000</f>
        <v>2282091.372</v>
      </c>
      <c r="J149" s="156"/>
      <c r="K149" s="156"/>
    </row>
    <row r="150" spans="1:12" s="466" customFormat="1" ht="12.75">
      <c r="C150" s="252">
        <f t="shared" si="38"/>
        <v>2017</v>
      </c>
      <c r="D150" s="156"/>
      <c r="E150" s="142">
        <f t="shared" ref="E150:F150" si="46">E134*E92/1000</f>
        <v>455261.82472614711</v>
      </c>
      <c r="F150" s="142">
        <f t="shared" si="46"/>
        <v>976756.92754159181</v>
      </c>
      <c r="G150" s="142">
        <f>G134*G92/1000</f>
        <v>1578403.8779960414</v>
      </c>
      <c r="H150" s="142">
        <f t="shared" ref="H150" si="47">H134*H92/1000</f>
        <v>2028080.85</v>
      </c>
      <c r="I150" s="156"/>
      <c r="J150" s="156"/>
      <c r="K150" s="156"/>
    </row>
    <row r="151" spans="1:12" s="466" customFormat="1" ht="12.75">
      <c r="C151" s="252">
        <f t="shared" si="38"/>
        <v>2018</v>
      </c>
      <c r="D151" s="142">
        <f t="shared" ref="D151:D152" si="48">D135*D93/1000</f>
        <v>112576.71961549354</v>
      </c>
      <c r="E151" s="142">
        <f t="shared" ref="E151" si="49">E135*E93/1000</f>
        <v>484053.77539899532</v>
      </c>
      <c r="F151" s="142">
        <f>F135*F93/1000</f>
        <v>1078652.6675382825</v>
      </c>
      <c r="G151" s="142">
        <f t="shared" ref="G151" si="50">G135*G93/1000</f>
        <v>1721166.267</v>
      </c>
      <c r="H151" s="156"/>
      <c r="I151" s="156"/>
      <c r="J151" s="156"/>
      <c r="K151" s="156"/>
    </row>
    <row r="152" spans="1:12" s="466" customFormat="1" ht="12.75">
      <c r="C152" s="252">
        <f t="shared" si="38"/>
        <v>2019</v>
      </c>
      <c r="D152" s="142">
        <f t="shared" si="48"/>
        <v>131783.59610906814</v>
      </c>
      <c r="E152" s="142">
        <f>E136*E94/1000</f>
        <v>513369.24899120617</v>
      </c>
      <c r="F152" s="142">
        <f t="shared" ref="F152" si="51">F136*F94/1000</f>
        <v>1142436.486</v>
      </c>
      <c r="G152" s="156"/>
      <c r="H152" s="156"/>
      <c r="I152" s="156"/>
      <c r="J152" s="156"/>
      <c r="K152" s="156"/>
    </row>
    <row r="153" spans="1:12" s="466" customFormat="1" ht="12.75">
      <c r="C153" s="252">
        <f t="shared" si="38"/>
        <v>2020</v>
      </c>
      <c r="D153" s="142">
        <f>D137*D95/1000</f>
        <v>100436.37296602801</v>
      </c>
      <c r="E153" s="142">
        <f t="shared" ref="E153" si="52">E137*E95/1000</f>
        <v>480740.48200000002</v>
      </c>
      <c r="F153" s="156"/>
      <c r="G153" s="156"/>
      <c r="H153" s="156"/>
      <c r="I153" s="156"/>
      <c r="J153" s="156"/>
      <c r="K153" s="156"/>
    </row>
    <row r="154" spans="1:12" s="466" customFormat="1" ht="12.75">
      <c r="C154" s="252">
        <f t="shared" si="38"/>
        <v>2021</v>
      </c>
      <c r="D154" s="142">
        <f t="shared" ref="D154" si="53">D138*D96/1000</f>
        <v>108922.167</v>
      </c>
      <c r="E154" s="156"/>
      <c r="F154" s="156"/>
      <c r="G154" s="156"/>
      <c r="H154" s="156"/>
      <c r="I154" s="156"/>
      <c r="J154" s="156"/>
      <c r="K154" s="156"/>
    </row>
    <row r="155" spans="1:12" s="466" customFormat="1" ht="12.75">
      <c r="C155" s="252"/>
      <c r="D155" s="156"/>
      <c r="F155" s="156"/>
      <c r="G155" s="156"/>
      <c r="H155" s="156"/>
      <c r="I155" s="156"/>
      <c r="J155" s="156"/>
      <c r="K155" s="156"/>
    </row>
    <row r="156" spans="1:12" s="466" customFormat="1" ht="12.75">
      <c r="A156" s="467"/>
      <c r="B156" s="467" t="s">
        <v>274</v>
      </c>
      <c r="C156" s="467"/>
      <c r="D156" s="467"/>
      <c r="E156" s="467"/>
      <c r="F156" s="467"/>
      <c r="G156" s="467"/>
      <c r="H156" s="467"/>
      <c r="I156" s="467"/>
      <c r="J156" s="467"/>
      <c r="K156" s="467"/>
      <c r="L156" s="298"/>
    </row>
    <row r="157" spans="1:12" s="466" customFormat="1" ht="12.75">
      <c r="L157" s="298"/>
    </row>
    <row r="158" spans="1:12" s="466" customFormat="1" ht="12.75">
      <c r="C158" s="252" t="s">
        <v>197</v>
      </c>
      <c r="D158" s="518" t="s">
        <v>294</v>
      </c>
      <c r="E158" s="518"/>
      <c r="F158" s="518"/>
      <c r="G158" s="518"/>
      <c r="H158" s="518"/>
      <c r="I158" s="518"/>
      <c r="J158" s="518"/>
      <c r="K158" s="252"/>
      <c r="L158" s="298"/>
    </row>
    <row r="159" spans="1:12" s="466" customFormat="1" ht="12.75">
      <c r="C159" s="26" t="s">
        <v>8</v>
      </c>
      <c r="D159" s="77">
        <f t="shared" ref="D159:J159" si="54">+D127</f>
        <v>12</v>
      </c>
      <c r="E159" s="77">
        <f t="shared" si="54"/>
        <v>24</v>
      </c>
      <c r="F159" s="77">
        <f t="shared" si="54"/>
        <v>36</v>
      </c>
      <c r="G159" s="77">
        <f t="shared" si="54"/>
        <v>48</v>
      </c>
      <c r="H159" s="77">
        <f t="shared" si="54"/>
        <v>60</v>
      </c>
      <c r="I159" s="77">
        <f t="shared" si="54"/>
        <v>72</v>
      </c>
      <c r="J159" s="77">
        <f t="shared" si="54"/>
        <v>84</v>
      </c>
      <c r="K159" s="77"/>
      <c r="L159" s="298"/>
    </row>
    <row r="160" spans="1:12" s="466" customFormat="1" ht="4.5" customHeight="1"/>
    <row r="161" spans="1:12" s="466" customFormat="1" ht="12.75">
      <c r="C161" s="252">
        <f t="shared" ref="C161:C170" si="55">+C129</f>
        <v>2012</v>
      </c>
      <c r="D161" s="482"/>
      <c r="E161" s="482"/>
      <c r="F161" s="482"/>
      <c r="G161" s="482"/>
      <c r="H161" s="482"/>
      <c r="I161" s="482"/>
      <c r="J161" s="482">
        <v>564173.58078045584</v>
      </c>
      <c r="K161" s="156"/>
      <c r="L161" s="298"/>
    </row>
    <row r="162" spans="1:12" s="466" customFormat="1" ht="12.75">
      <c r="C162" s="252">
        <f t="shared" si="55"/>
        <v>2013</v>
      </c>
      <c r="D162" s="482"/>
      <c r="E162" s="482"/>
      <c r="F162" s="482"/>
      <c r="G162" s="482"/>
      <c r="H162" s="482"/>
      <c r="I162" s="482">
        <v>579109.03339782543</v>
      </c>
      <c r="J162" s="482">
        <v>462493.19811736303</v>
      </c>
      <c r="K162" s="156"/>
      <c r="L162" s="298"/>
    </row>
    <row r="163" spans="1:12" s="466" customFormat="1" ht="12.75">
      <c r="C163" s="252">
        <f t="shared" si="55"/>
        <v>2014</v>
      </c>
      <c r="D163" s="482"/>
      <c r="E163" s="482"/>
      <c r="F163" s="482"/>
      <c r="G163" s="482"/>
      <c r="H163" s="482">
        <v>656893.47354369087</v>
      </c>
      <c r="I163" s="482">
        <v>535016.60667666374</v>
      </c>
      <c r="J163" s="482">
        <v>444639.40899999905</v>
      </c>
      <c r="K163" s="156"/>
      <c r="L163" s="298"/>
    </row>
    <row r="164" spans="1:12" s="466" customFormat="1" ht="12.75">
      <c r="C164" s="252">
        <f t="shared" si="55"/>
        <v>2015</v>
      </c>
      <c r="D164" s="482"/>
      <c r="E164" s="482"/>
      <c r="F164" s="482"/>
      <c r="G164" s="482">
        <v>784730.8479497981</v>
      </c>
      <c r="H164" s="482">
        <v>621162.71880478656</v>
      </c>
      <c r="I164" s="482">
        <v>517460.16100000002</v>
      </c>
      <c r="J164" s="482">
        <v>452890.20899999997</v>
      </c>
      <c r="K164" s="156"/>
      <c r="L164" s="298"/>
    </row>
    <row r="165" spans="1:12" s="466" customFormat="1" ht="12.75">
      <c r="C165" s="252">
        <f t="shared" si="55"/>
        <v>2016</v>
      </c>
      <c r="D165" s="482"/>
      <c r="E165" s="482"/>
      <c r="F165" s="482">
        <v>865454.71600000001</v>
      </c>
      <c r="G165" s="482">
        <v>741190.20500000019</v>
      </c>
      <c r="H165" s="482">
        <v>617926.84600000025</v>
      </c>
      <c r="I165" s="482">
        <v>543991.56299999997</v>
      </c>
      <c r="J165" s="482"/>
      <c r="K165" s="156"/>
      <c r="L165" s="298"/>
    </row>
    <row r="166" spans="1:12" s="466" customFormat="1" ht="12.75">
      <c r="C166" s="252">
        <f t="shared" si="55"/>
        <v>2017</v>
      </c>
      <c r="D166" s="482"/>
      <c r="E166" s="482">
        <v>824564.353</v>
      </c>
      <c r="F166" s="482">
        <v>845400.978</v>
      </c>
      <c r="G166" s="482">
        <v>740035.701</v>
      </c>
      <c r="H166" s="482">
        <v>632615.38300000003</v>
      </c>
      <c r="I166" s="482"/>
      <c r="J166" s="482"/>
      <c r="K166" s="156"/>
      <c r="L166" s="298"/>
    </row>
    <row r="167" spans="1:12" s="466" customFormat="1" ht="12.75">
      <c r="C167" s="252">
        <f t="shared" si="55"/>
        <v>2018</v>
      </c>
      <c r="D167" s="482">
        <v>420432.84499999997</v>
      </c>
      <c r="E167" s="482">
        <v>874975.99899999995</v>
      </c>
      <c r="F167" s="482">
        <v>903995.06799999997</v>
      </c>
      <c r="G167" s="482">
        <v>832685.91599999997</v>
      </c>
      <c r="H167" s="482"/>
      <c r="I167" s="482"/>
      <c r="J167" s="482"/>
      <c r="K167" s="156"/>
      <c r="L167" s="298"/>
    </row>
    <row r="168" spans="1:12" s="466" customFormat="1" ht="12.75">
      <c r="C168" s="252">
        <f t="shared" si="55"/>
        <v>2019</v>
      </c>
      <c r="D168" s="482">
        <v>402257.50400000002</v>
      </c>
      <c r="E168" s="482">
        <v>879998.8</v>
      </c>
      <c r="F168" s="482">
        <v>992905.05</v>
      </c>
      <c r="G168" s="482"/>
      <c r="H168" s="482"/>
      <c r="I168" s="482"/>
      <c r="J168" s="482"/>
      <c r="K168" s="156"/>
      <c r="L168" s="298"/>
    </row>
    <row r="169" spans="1:12" s="466" customFormat="1" ht="12.75">
      <c r="C169" s="252">
        <f t="shared" si="55"/>
        <v>2020</v>
      </c>
      <c r="D169" s="482">
        <v>369717.87145000004</v>
      </c>
      <c r="E169" s="482">
        <v>825780.12899999996</v>
      </c>
      <c r="F169" s="482"/>
      <c r="G169" s="482"/>
      <c r="H169" s="482"/>
      <c r="I169" s="482"/>
      <c r="J169" s="482"/>
      <c r="K169" s="156"/>
      <c r="L169" s="298"/>
    </row>
    <row r="170" spans="1:12" s="466" customFormat="1" ht="12.75">
      <c r="C170" s="252">
        <f t="shared" si="55"/>
        <v>2021</v>
      </c>
      <c r="D170" s="482">
        <v>398458.26799999998</v>
      </c>
      <c r="E170" s="482"/>
      <c r="F170" s="482"/>
      <c r="G170" s="482"/>
      <c r="H170" s="482"/>
      <c r="I170" s="482"/>
      <c r="J170" s="482"/>
      <c r="K170" s="156"/>
      <c r="L170" s="298"/>
    </row>
    <row r="171" spans="1:12" s="466" customFormat="1" ht="12.75">
      <c r="C171" s="252"/>
      <c r="D171" s="156"/>
      <c r="F171" s="156"/>
      <c r="G171" s="156"/>
      <c r="H171" s="156"/>
      <c r="I171" s="156"/>
      <c r="J171" s="156"/>
      <c r="K171" s="156"/>
    </row>
    <row r="172" spans="1:12" s="466" customFormat="1" ht="24.75" customHeight="1">
      <c r="A172" s="143" t="s">
        <v>38</v>
      </c>
      <c r="B172" s="521" t="s">
        <v>259</v>
      </c>
      <c r="C172" s="521"/>
      <c r="D172" s="521"/>
      <c r="E172" s="521"/>
      <c r="F172" s="521"/>
      <c r="G172" s="521"/>
      <c r="H172" s="521"/>
      <c r="I172" s="521"/>
      <c r="J172" s="521"/>
      <c r="K172" s="521"/>
      <c r="L172" s="470"/>
    </row>
    <row r="173" spans="1:12" s="466" customFormat="1" ht="26.25" customHeight="1">
      <c r="A173" s="143" t="s">
        <v>57</v>
      </c>
      <c r="B173" s="521" t="s">
        <v>275</v>
      </c>
      <c r="C173" s="521"/>
      <c r="D173" s="521"/>
      <c r="E173" s="521"/>
      <c r="F173" s="521"/>
      <c r="G173" s="521"/>
      <c r="H173" s="521"/>
      <c r="I173" s="521"/>
      <c r="J173" s="521"/>
      <c r="K173" s="521"/>
      <c r="L173" s="470"/>
    </row>
    <row r="174" spans="1:12" s="466" customFormat="1" ht="12.75">
      <c r="B174" s="522"/>
      <c r="C174" s="522"/>
      <c r="D174" s="522"/>
      <c r="E174" s="522"/>
      <c r="F174" s="522"/>
      <c r="G174" s="522"/>
      <c r="H174" s="522"/>
      <c r="I174" s="522"/>
      <c r="J174" s="522"/>
    </row>
    <row r="175" spans="1:12" s="466" customFormat="1" ht="12.75">
      <c r="B175" s="466" t="s">
        <v>484</v>
      </c>
    </row>
    <row r="176" spans="1:12" ht="45" customHeight="1">
      <c r="A176" s="466"/>
      <c r="B176" s="466"/>
      <c r="C176" s="252"/>
      <c r="D176" s="363"/>
      <c r="E176" s="363"/>
      <c r="F176" s="73"/>
      <c r="G176" s="73"/>
      <c r="H176" s="73"/>
      <c r="I176" s="73"/>
      <c r="J176" s="466"/>
      <c r="K176" s="466"/>
      <c r="L176" s="143" t="s">
        <v>365</v>
      </c>
    </row>
    <row r="177" spans="1:12" s="466" customFormat="1" ht="12.75">
      <c r="A177" s="245" t="s">
        <v>35</v>
      </c>
      <c r="B177" s="245"/>
      <c r="C177" s="245"/>
      <c r="D177" s="245"/>
      <c r="E177" s="245"/>
      <c r="F177" s="245"/>
      <c r="G177" s="245"/>
      <c r="H177" s="245"/>
      <c r="I177" s="245"/>
      <c r="J177" s="245"/>
      <c r="K177" s="245"/>
      <c r="L177" s="245"/>
    </row>
    <row r="178" spans="1:12" s="466" customFormat="1" ht="12.75">
      <c r="A178" s="245" t="s">
        <v>247</v>
      </c>
      <c r="B178" s="245"/>
      <c r="C178" s="245"/>
      <c r="D178" s="245"/>
      <c r="E178" s="245"/>
      <c r="F178" s="245"/>
      <c r="G178" s="245"/>
      <c r="H178" s="245"/>
      <c r="I178" s="245"/>
      <c r="J178" s="245"/>
      <c r="K178" s="245"/>
      <c r="L178" s="245"/>
    </row>
    <row r="179" spans="1:12" s="466" customFormat="1" ht="12.75">
      <c r="A179" s="245" t="s">
        <v>248</v>
      </c>
      <c r="B179" s="245"/>
      <c r="C179" s="245"/>
      <c r="D179" s="245"/>
      <c r="E179" s="245"/>
      <c r="F179" s="245"/>
      <c r="G179" s="245"/>
      <c r="H179" s="245"/>
      <c r="I179" s="245"/>
      <c r="J179" s="245"/>
      <c r="K179" s="245"/>
      <c r="L179" s="245"/>
    </row>
    <row r="180" spans="1:12" s="466" customFormat="1" ht="12.75">
      <c r="A180" s="298"/>
      <c r="B180" s="298"/>
      <c r="C180" s="298"/>
      <c r="D180" s="298"/>
      <c r="E180" s="298"/>
      <c r="F180" s="298"/>
      <c r="G180" s="298"/>
      <c r="H180" s="298"/>
      <c r="I180" s="298"/>
      <c r="J180" s="298"/>
      <c r="K180" s="298"/>
      <c r="L180" s="298"/>
    </row>
    <row r="181" spans="1:12" s="466" customFormat="1" ht="12.75">
      <c r="A181" s="298"/>
      <c r="B181" s="298"/>
      <c r="C181" s="298"/>
      <c r="D181" s="298"/>
      <c r="E181" s="298"/>
      <c r="F181" s="298"/>
      <c r="G181" s="298"/>
      <c r="H181" s="298"/>
      <c r="I181" s="298"/>
      <c r="J181" s="298"/>
      <c r="K181" s="298"/>
      <c r="L181" s="298"/>
    </row>
    <row r="182" spans="1:12" s="466" customFormat="1" ht="12.75">
      <c r="A182" s="467"/>
      <c r="B182" s="467" t="s">
        <v>307</v>
      </c>
      <c r="C182" s="467"/>
      <c r="D182" s="467"/>
      <c r="E182" s="467"/>
      <c r="F182" s="467"/>
      <c r="G182" s="467"/>
      <c r="H182" s="467"/>
      <c r="I182" s="467"/>
      <c r="J182" s="467"/>
      <c r="K182" s="467"/>
      <c r="L182" s="467"/>
    </row>
    <row r="183" spans="1:12" s="466" customFormat="1" ht="12.75"/>
    <row r="184" spans="1:12" s="466" customFormat="1" ht="12.75">
      <c r="C184" s="252" t="s">
        <v>197</v>
      </c>
      <c r="D184" s="518" t="s">
        <v>294</v>
      </c>
      <c r="E184" s="518"/>
      <c r="F184" s="518"/>
      <c r="G184" s="518"/>
      <c r="H184" s="518"/>
      <c r="I184" s="518"/>
      <c r="J184" s="518"/>
      <c r="K184" s="252"/>
    </row>
    <row r="185" spans="1:12" s="466" customFormat="1" ht="12.75">
      <c r="C185" s="26" t="s">
        <v>8</v>
      </c>
      <c r="D185" s="77">
        <f t="shared" ref="D185:J185" si="56">D159</f>
        <v>12</v>
      </c>
      <c r="E185" s="77">
        <f t="shared" si="56"/>
        <v>24</v>
      </c>
      <c r="F185" s="77">
        <f t="shared" si="56"/>
        <v>36</v>
      </c>
      <c r="G185" s="77">
        <f t="shared" si="56"/>
        <v>48</v>
      </c>
      <c r="H185" s="77">
        <f t="shared" si="56"/>
        <v>60</v>
      </c>
      <c r="I185" s="77">
        <f t="shared" si="56"/>
        <v>72</v>
      </c>
      <c r="J185" s="77">
        <f t="shared" si="56"/>
        <v>84</v>
      </c>
      <c r="K185" s="77"/>
    </row>
    <row r="186" spans="1:12" s="466" customFormat="1" ht="4.5" customHeight="1"/>
    <row r="187" spans="1:12" s="466" customFormat="1" ht="12.75">
      <c r="C187" s="252">
        <f t="shared" ref="C187:C196" si="57">C161</f>
        <v>2012</v>
      </c>
      <c r="D187" s="363"/>
      <c r="E187" s="363"/>
      <c r="F187" s="363"/>
      <c r="G187" s="363"/>
      <c r="H187" s="363"/>
      <c r="I187" s="363"/>
      <c r="J187" s="363">
        <v>56333.037761233238</v>
      </c>
      <c r="K187" s="73"/>
    </row>
    <row r="188" spans="1:12" s="466" customFormat="1" ht="12.75">
      <c r="C188" s="252">
        <f t="shared" si="57"/>
        <v>2013</v>
      </c>
      <c r="D188" s="363"/>
      <c r="E188" s="363"/>
      <c r="F188" s="363"/>
      <c r="G188" s="363"/>
      <c r="H188" s="363"/>
      <c r="I188" s="363">
        <v>42431.978978556341</v>
      </c>
      <c r="J188" s="363">
        <v>50449.991761993777</v>
      </c>
      <c r="K188" s="73"/>
    </row>
    <row r="189" spans="1:12" s="466" customFormat="1" ht="12.75">
      <c r="C189" s="252">
        <f t="shared" si="57"/>
        <v>2014</v>
      </c>
      <c r="D189" s="363"/>
      <c r="E189" s="363"/>
      <c r="F189" s="363"/>
      <c r="G189" s="363"/>
      <c r="H189" s="363">
        <v>33959.71078578358</v>
      </c>
      <c r="I189" s="363">
        <v>41234.832430851762</v>
      </c>
      <c r="J189" s="363">
        <v>48765.015244570997</v>
      </c>
      <c r="K189" s="73"/>
    </row>
    <row r="190" spans="1:12" s="466" customFormat="1" ht="12.75">
      <c r="C190" s="252">
        <f t="shared" si="57"/>
        <v>2015</v>
      </c>
      <c r="D190" s="363"/>
      <c r="E190" s="363"/>
      <c r="F190" s="363"/>
      <c r="G190" s="363">
        <v>27954.813975800011</v>
      </c>
      <c r="H190" s="363">
        <v>35159.207390183292</v>
      </c>
      <c r="I190" s="363">
        <v>41268.056543584113</v>
      </c>
      <c r="J190" s="363">
        <v>50450.062270246184</v>
      </c>
      <c r="K190" s="73"/>
    </row>
    <row r="191" spans="1:12" s="466" customFormat="1" ht="12.75">
      <c r="C191" s="252">
        <f t="shared" si="57"/>
        <v>2016</v>
      </c>
      <c r="D191" s="363"/>
      <c r="E191" s="363"/>
      <c r="F191" s="363">
        <v>20318.223171733764</v>
      </c>
      <c r="G191" s="363">
        <v>28645.03207729468</v>
      </c>
      <c r="H191" s="363">
        <v>35376.816053128743</v>
      </c>
      <c r="I191" s="363">
        <v>44119.34817518248</v>
      </c>
      <c r="J191" s="363"/>
      <c r="K191" s="73"/>
    </row>
    <row r="192" spans="1:12" s="466" customFormat="1" ht="12.75">
      <c r="C192" s="252">
        <f t="shared" si="57"/>
        <v>2017</v>
      </c>
      <c r="D192" s="363"/>
      <c r="E192" s="363">
        <v>13088.738579002516</v>
      </c>
      <c r="F192" s="363">
        <v>21367.394869202602</v>
      </c>
      <c r="G192" s="363">
        <v>28587.155753853287</v>
      </c>
      <c r="H192" s="363">
        <v>36215.673402793676</v>
      </c>
      <c r="I192" s="363"/>
      <c r="J192" s="363"/>
      <c r="K192" s="73"/>
    </row>
    <row r="193" spans="1:12" s="466" customFormat="1" ht="12.75">
      <c r="C193" s="252">
        <f t="shared" si="57"/>
        <v>2018</v>
      </c>
      <c r="D193" s="363">
        <v>5101.4735967190027</v>
      </c>
      <c r="E193" s="363">
        <v>13646.97807065429</v>
      </c>
      <c r="F193" s="363">
        <v>21028.031356129341</v>
      </c>
      <c r="G193" s="363">
        <v>29491.266725695059</v>
      </c>
      <c r="H193" s="363"/>
      <c r="I193" s="363"/>
      <c r="J193" s="363"/>
      <c r="K193" s="73"/>
    </row>
    <row r="194" spans="1:12" s="466" customFormat="1" ht="12.75">
      <c r="C194" s="252">
        <f t="shared" si="57"/>
        <v>2019</v>
      </c>
      <c r="D194" s="363">
        <v>4788.3237786877444</v>
      </c>
      <c r="E194" s="363">
        <v>12851.575780588253</v>
      </c>
      <c r="F194" s="363">
        <v>20946.038225428769</v>
      </c>
      <c r="G194" s="363"/>
      <c r="H194" s="363"/>
      <c r="I194" s="363"/>
      <c r="J194" s="363"/>
      <c r="K194" s="73"/>
    </row>
    <row r="195" spans="1:12" s="466" customFormat="1" ht="12.75">
      <c r="C195" s="252">
        <f t="shared" si="57"/>
        <v>2020</v>
      </c>
      <c r="D195" s="363">
        <v>4962.5893806794547</v>
      </c>
      <c r="E195" s="363">
        <v>13467.832161787492</v>
      </c>
      <c r="F195" s="363"/>
      <c r="G195" s="363"/>
      <c r="H195" s="363"/>
      <c r="I195" s="363"/>
      <c r="J195" s="363"/>
      <c r="K195" s="73"/>
    </row>
    <row r="196" spans="1:12" s="466" customFormat="1" ht="12.75">
      <c r="C196" s="252">
        <f t="shared" si="57"/>
        <v>2021</v>
      </c>
      <c r="D196" s="363">
        <v>4950.5301162906271</v>
      </c>
      <c r="E196" s="363"/>
      <c r="F196" s="363"/>
      <c r="G196" s="363"/>
      <c r="H196" s="363"/>
      <c r="I196" s="363"/>
      <c r="J196" s="363"/>
      <c r="K196" s="73"/>
    </row>
    <row r="197" spans="1:12" s="466" customFormat="1" ht="12.75">
      <c r="D197" s="73"/>
      <c r="F197" s="73"/>
      <c r="G197" s="73"/>
      <c r="H197" s="73"/>
      <c r="I197" s="73"/>
      <c r="J197" s="73"/>
      <c r="K197" s="73"/>
    </row>
    <row r="198" spans="1:12" s="466" customFormat="1" ht="12.75">
      <c r="A198" s="467"/>
      <c r="B198" s="467" t="s">
        <v>276</v>
      </c>
      <c r="C198" s="467"/>
      <c r="D198" s="467"/>
      <c r="E198" s="467"/>
      <c r="F198" s="467"/>
      <c r="G198" s="467"/>
      <c r="H198" s="467"/>
      <c r="I198" s="467"/>
      <c r="J198" s="467"/>
      <c r="K198" s="467"/>
      <c r="L198" s="467"/>
    </row>
    <row r="199" spans="1:12" s="466" customFormat="1" ht="12.75">
      <c r="B199" s="466" t="s">
        <v>308</v>
      </c>
      <c r="C199" s="467"/>
      <c r="D199" s="467"/>
      <c r="E199" s="467"/>
      <c r="F199" s="467"/>
      <c r="G199" s="467"/>
      <c r="H199" s="467"/>
      <c r="I199" s="467"/>
      <c r="J199" s="467"/>
      <c r="K199" s="467"/>
      <c r="L199" s="467"/>
    </row>
    <row r="200" spans="1:12" s="466" customFormat="1" ht="12.75"/>
    <row r="201" spans="1:12" s="466" customFormat="1" ht="12.75">
      <c r="C201" s="252" t="s">
        <v>197</v>
      </c>
      <c r="D201" s="518" t="s">
        <v>294</v>
      </c>
      <c r="E201" s="518"/>
      <c r="F201" s="518"/>
      <c r="G201" s="518"/>
      <c r="H201" s="518"/>
      <c r="I201" s="518"/>
      <c r="J201" s="518"/>
      <c r="K201" s="252"/>
    </row>
    <row r="202" spans="1:12" s="466" customFormat="1" ht="12.75">
      <c r="C202" s="26" t="s">
        <v>8</v>
      </c>
      <c r="D202" s="77">
        <f t="shared" ref="D202:J202" si="58">+D185</f>
        <v>12</v>
      </c>
      <c r="E202" s="77">
        <f t="shared" si="58"/>
        <v>24</v>
      </c>
      <c r="F202" s="77">
        <f t="shared" si="58"/>
        <v>36</v>
      </c>
      <c r="G202" s="77">
        <f t="shared" si="58"/>
        <v>48</v>
      </c>
      <c r="H202" s="77">
        <f t="shared" si="58"/>
        <v>60</v>
      </c>
      <c r="I202" s="77">
        <f t="shared" si="58"/>
        <v>72</v>
      </c>
      <c r="J202" s="77">
        <f t="shared" si="58"/>
        <v>84</v>
      </c>
      <c r="K202" s="77"/>
    </row>
    <row r="203" spans="1:12" s="466" customFormat="1" ht="4.5" customHeight="1"/>
    <row r="204" spans="1:12" s="466" customFormat="1" ht="12.75">
      <c r="C204" s="252">
        <f t="shared" ref="C204:C212" si="59">+C187</f>
        <v>2012</v>
      </c>
      <c r="D204" s="363"/>
      <c r="E204" s="363"/>
      <c r="F204" s="363"/>
      <c r="G204" s="363"/>
      <c r="H204" s="363"/>
      <c r="I204" s="363"/>
      <c r="J204" s="363">
        <v>-117341.71765664883</v>
      </c>
      <c r="K204" s="73"/>
    </row>
    <row r="205" spans="1:12" s="466" customFormat="1" ht="12.75">
      <c r="C205" s="252">
        <f t="shared" si="59"/>
        <v>2013</v>
      </c>
      <c r="D205" s="363"/>
      <c r="E205" s="363"/>
      <c r="F205" s="363"/>
      <c r="G205" s="363"/>
      <c r="H205" s="363"/>
      <c r="I205" s="363">
        <v>-107819.65858451166</v>
      </c>
      <c r="J205" s="363">
        <v>-42579.793047122745</v>
      </c>
      <c r="K205" s="73"/>
    </row>
    <row r="206" spans="1:12" s="466" customFormat="1" ht="12.75">
      <c r="C206" s="252">
        <f t="shared" si="59"/>
        <v>2014</v>
      </c>
      <c r="D206" s="363"/>
      <c r="E206" s="363"/>
      <c r="F206" s="363"/>
      <c r="G206" s="363"/>
      <c r="H206" s="363">
        <v>-98041.685038557203</v>
      </c>
      <c r="I206" s="363">
        <v>-51626.010203426405</v>
      </c>
      <c r="J206" s="363">
        <v>-22773.262119214658</v>
      </c>
      <c r="K206" s="73"/>
    </row>
    <row r="207" spans="1:12" s="466" customFormat="1" ht="12.75">
      <c r="C207" s="252">
        <f t="shared" si="59"/>
        <v>2015</v>
      </c>
      <c r="D207" s="363"/>
      <c r="E207" s="363"/>
      <c r="F207" s="363"/>
      <c r="G207" s="363">
        <v>-35251.020423483809</v>
      </c>
      <c r="H207" s="363">
        <v>-26650.679201758936</v>
      </c>
      <c r="I207" s="363">
        <v>-20345.151875986969</v>
      </c>
      <c r="J207" s="363"/>
      <c r="K207" s="73"/>
    </row>
    <row r="208" spans="1:12" s="466" customFormat="1" ht="12.75">
      <c r="C208" s="252">
        <f t="shared" si="59"/>
        <v>2016</v>
      </c>
      <c r="D208" s="363"/>
      <c r="E208" s="363"/>
      <c r="F208" s="363">
        <v>50164.598484213202</v>
      </c>
      <c r="G208" s="363">
        <v>44131.180729005733</v>
      </c>
      <c r="H208" s="363">
        <v>-2759.3916521440419</v>
      </c>
      <c r="I208" s="363"/>
      <c r="J208" s="363"/>
      <c r="K208" s="73"/>
    </row>
    <row r="209" spans="1:11" s="466" customFormat="1" ht="12.75">
      <c r="C209" s="252">
        <f t="shared" si="59"/>
        <v>2017</v>
      </c>
      <c r="D209" s="363"/>
      <c r="E209" s="363">
        <v>51060.073717220977</v>
      </c>
      <c r="F209" s="363">
        <v>115462.30737467069</v>
      </c>
      <c r="G209" s="363">
        <v>50882.889648527795</v>
      </c>
      <c r="H209" s="363"/>
      <c r="I209" s="363"/>
      <c r="J209" s="363"/>
      <c r="K209" s="73"/>
    </row>
    <row r="210" spans="1:11" s="466" customFormat="1" ht="12.75">
      <c r="C210" s="252">
        <f t="shared" si="59"/>
        <v>2018</v>
      </c>
      <c r="D210" s="363">
        <v>-1479.4273430485109</v>
      </c>
      <c r="E210" s="363">
        <v>56881.430603416884</v>
      </c>
      <c r="F210" s="363">
        <v>71216.755061709424</v>
      </c>
      <c r="G210" s="363"/>
      <c r="H210" s="363"/>
      <c r="I210" s="363"/>
      <c r="J210" s="363"/>
      <c r="K210" s="73"/>
    </row>
    <row r="211" spans="1:11" s="466" customFormat="1" ht="12.75">
      <c r="C211" s="252">
        <f t="shared" si="59"/>
        <v>2019</v>
      </c>
      <c r="D211" s="363">
        <v>-1680.7016463193982</v>
      </c>
      <c r="E211" s="363">
        <v>18329.703424816686</v>
      </c>
      <c r="F211" s="363"/>
      <c r="G211" s="363"/>
      <c r="H211" s="363"/>
      <c r="I211" s="363"/>
      <c r="J211" s="363"/>
      <c r="K211" s="73"/>
    </row>
    <row r="212" spans="1:11" s="466" customFormat="1" ht="12.75">
      <c r="C212" s="252">
        <f t="shared" si="59"/>
        <v>2020</v>
      </c>
      <c r="D212" s="363">
        <v>-7543.1358586327715</v>
      </c>
      <c r="E212" s="363"/>
      <c r="F212" s="363"/>
      <c r="G212" s="363"/>
      <c r="H212" s="363"/>
      <c r="I212" s="363"/>
      <c r="J212" s="363"/>
      <c r="K212" s="73"/>
    </row>
    <row r="213" spans="1:11" s="466" customFormat="1" ht="12.75">
      <c r="C213" s="252"/>
      <c r="D213" s="73"/>
      <c r="F213" s="73"/>
      <c r="G213" s="73"/>
      <c r="H213" s="73"/>
      <c r="I213" s="73"/>
      <c r="J213" s="73"/>
      <c r="K213" s="73"/>
    </row>
    <row r="214" spans="1:11" s="466" customFormat="1" ht="12.75">
      <c r="A214" s="467"/>
      <c r="B214" s="467" t="s">
        <v>309</v>
      </c>
      <c r="C214" s="467"/>
      <c r="D214" s="467"/>
      <c r="E214" s="467"/>
      <c r="F214" s="467"/>
      <c r="G214" s="467"/>
      <c r="H214" s="467"/>
      <c r="I214" s="467"/>
      <c r="J214" s="467"/>
      <c r="K214" s="467"/>
    </row>
    <row r="215" spans="1:11" s="466" customFormat="1" ht="12.75"/>
    <row r="216" spans="1:11" s="466" customFormat="1" ht="12.75">
      <c r="C216" s="252" t="s">
        <v>197</v>
      </c>
      <c r="D216" s="518" t="s">
        <v>294</v>
      </c>
      <c r="E216" s="518"/>
      <c r="F216" s="518"/>
      <c r="G216" s="518"/>
      <c r="H216" s="518"/>
      <c r="I216" s="518"/>
      <c r="J216" s="518"/>
      <c r="K216" s="252"/>
    </row>
    <row r="217" spans="1:11" s="466" customFormat="1" ht="12.75">
      <c r="C217" s="26" t="s">
        <v>8</v>
      </c>
      <c r="D217" s="77">
        <f t="shared" ref="D217:J217" si="60">+D185</f>
        <v>12</v>
      </c>
      <c r="E217" s="77">
        <f t="shared" si="60"/>
        <v>24</v>
      </c>
      <c r="F217" s="77">
        <f t="shared" si="60"/>
        <v>36</v>
      </c>
      <c r="G217" s="77">
        <f t="shared" si="60"/>
        <v>48</v>
      </c>
      <c r="H217" s="77">
        <f t="shared" si="60"/>
        <v>60</v>
      </c>
      <c r="I217" s="77">
        <f t="shared" si="60"/>
        <v>72</v>
      </c>
      <c r="J217" s="77">
        <f t="shared" si="60"/>
        <v>84</v>
      </c>
      <c r="K217" s="77"/>
    </row>
    <row r="218" spans="1:11" s="466" customFormat="1" ht="4.5" customHeight="1"/>
    <row r="219" spans="1:11" s="466" customFormat="1" ht="12.75">
      <c r="C219" s="252">
        <f t="shared" ref="C219:C228" si="61">+C187</f>
        <v>2012</v>
      </c>
      <c r="D219" s="363"/>
      <c r="E219" s="363"/>
      <c r="F219" s="363"/>
      <c r="G219" s="363"/>
      <c r="H219" s="363"/>
      <c r="I219" s="363"/>
      <c r="J219" s="363">
        <v>446831.86312380701</v>
      </c>
      <c r="K219" s="73"/>
    </row>
    <row r="220" spans="1:11" s="466" customFormat="1" ht="12.75">
      <c r="C220" s="252">
        <f t="shared" si="61"/>
        <v>2013</v>
      </c>
      <c r="D220" s="363"/>
      <c r="E220" s="363"/>
      <c r="F220" s="363"/>
      <c r="G220" s="363"/>
      <c r="H220" s="363"/>
      <c r="I220" s="363">
        <v>471289.37481331377</v>
      </c>
      <c r="J220" s="363">
        <v>419913.40507024026</v>
      </c>
      <c r="K220" s="73"/>
    </row>
    <row r="221" spans="1:11" s="466" customFormat="1" ht="12.75">
      <c r="C221" s="252">
        <f t="shared" si="61"/>
        <v>2014</v>
      </c>
      <c r="D221" s="363"/>
      <c r="E221" s="363"/>
      <c r="F221" s="363"/>
      <c r="G221" s="363"/>
      <c r="H221" s="363">
        <v>558851.78850513371</v>
      </c>
      <c r="I221" s="363">
        <v>483390.59647323732</v>
      </c>
      <c r="J221" s="363">
        <v>421866.14688078442</v>
      </c>
      <c r="K221" s="73"/>
    </row>
    <row r="222" spans="1:11" s="466" customFormat="1" ht="12.75">
      <c r="C222" s="252">
        <f t="shared" si="61"/>
        <v>2015</v>
      </c>
      <c r="D222" s="363"/>
      <c r="E222" s="363"/>
      <c r="F222" s="363"/>
      <c r="G222" s="363">
        <v>749479.8275263143</v>
      </c>
      <c r="H222" s="363">
        <v>594512.03960302763</v>
      </c>
      <c r="I222" s="363">
        <v>497115.00912401307</v>
      </c>
      <c r="J222" s="363">
        <v>452890.20899999997</v>
      </c>
      <c r="K222" s="73"/>
    </row>
    <row r="223" spans="1:11" s="466" customFormat="1" ht="12.75">
      <c r="C223" s="252">
        <f t="shared" si="61"/>
        <v>2016</v>
      </c>
      <c r="D223" s="363"/>
      <c r="E223" s="363"/>
      <c r="F223" s="363">
        <v>915619.31448421325</v>
      </c>
      <c r="G223" s="363">
        <v>785321.38572900591</v>
      </c>
      <c r="H223" s="363">
        <v>615167.45434785623</v>
      </c>
      <c r="I223" s="363">
        <v>543991.56299999997</v>
      </c>
      <c r="J223" s="363"/>
      <c r="K223" s="73"/>
    </row>
    <row r="224" spans="1:11" s="466" customFormat="1" ht="12.75">
      <c r="C224" s="252">
        <f t="shared" si="61"/>
        <v>2017</v>
      </c>
      <c r="D224" s="363"/>
      <c r="E224" s="363">
        <v>875624.42671722104</v>
      </c>
      <c r="F224" s="363">
        <v>960863.28537467076</v>
      </c>
      <c r="G224" s="363">
        <v>790918.59064852784</v>
      </c>
      <c r="H224" s="363">
        <v>632615.38300000003</v>
      </c>
      <c r="I224" s="363"/>
      <c r="J224" s="363"/>
      <c r="K224" s="73"/>
    </row>
    <row r="225" spans="1:12" s="466" customFormat="1" ht="12.75">
      <c r="C225" s="252">
        <f t="shared" si="61"/>
        <v>2018</v>
      </c>
      <c r="D225" s="363">
        <v>418953.41765695147</v>
      </c>
      <c r="E225" s="363">
        <v>931857.42960341682</v>
      </c>
      <c r="F225" s="363">
        <v>975211.82306170941</v>
      </c>
      <c r="G225" s="363">
        <v>832685.91599999997</v>
      </c>
      <c r="H225" s="363"/>
      <c r="I225" s="363"/>
      <c r="J225" s="363"/>
      <c r="K225" s="73"/>
    </row>
    <row r="226" spans="1:12" s="466" customFormat="1" ht="12.75">
      <c r="C226" s="252">
        <f t="shared" si="61"/>
        <v>2019</v>
      </c>
      <c r="D226" s="363">
        <v>400576.8023536806</v>
      </c>
      <c r="E226" s="363">
        <v>898328.50342481676</v>
      </c>
      <c r="F226" s="363">
        <v>992905.05</v>
      </c>
      <c r="G226" s="363"/>
      <c r="H226" s="363"/>
      <c r="I226" s="363"/>
      <c r="J226" s="363"/>
      <c r="K226" s="73"/>
    </row>
    <row r="227" spans="1:12" s="466" customFormat="1" ht="12.75">
      <c r="C227" s="252">
        <f t="shared" si="61"/>
        <v>2020</v>
      </c>
      <c r="D227" s="363">
        <v>362174.73559136724</v>
      </c>
      <c r="E227" s="363">
        <v>825780.12899999996</v>
      </c>
      <c r="F227" s="363"/>
      <c r="G227" s="363"/>
      <c r="H227" s="363"/>
      <c r="I227" s="363"/>
      <c r="J227" s="363"/>
      <c r="K227" s="73"/>
    </row>
    <row r="228" spans="1:12" s="466" customFormat="1" ht="12.75">
      <c r="C228" s="252">
        <f t="shared" si="61"/>
        <v>2021</v>
      </c>
      <c r="D228" s="363">
        <v>398458.26799999998</v>
      </c>
      <c r="E228" s="363"/>
      <c r="F228" s="363"/>
      <c r="G228" s="363"/>
      <c r="H228" s="363"/>
      <c r="I228" s="363"/>
      <c r="J228" s="363"/>
      <c r="K228" s="73"/>
    </row>
    <row r="229" spans="1:12" s="466" customFormat="1" ht="12.75">
      <c r="C229" s="252"/>
      <c r="D229" s="73"/>
      <c r="F229" s="73"/>
      <c r="G229" s="73"/>
      <c r="H229" s="73"/>
      <c r="I229" s="73"/>
      <c r="J229" s="73"/>
      <c r="K229" s="73"/>
    </row>
    <row r="230" spans="1:12" s="466" customFormat="1" ht="64.5" customHeight="1">
      <c r="A230" s="143" t="s">
        <v>41</v>
      </c>
      <c r="B230" s="521" t="s">
        <v>277</v>
      </c>
      <c r="C230" s="521"/>
      <c r="D230" s="521"/>
      <c r="E230" s="521"/>
      <c r="F230" s="521"/>
      <c r="G230" s="521"/>
      <c r="H230" s="521"/>
      <c r="I230" s="521"/>
      <c r="J230" s="521"/>
      <c r="K230" s="521"/>
      <c r="L230" s="470"/>
    </row>
    <row r="231" spans="1:12" s="466" customFormat="1" ht="38.25" customHeight="1">
      <c r="A231" s="143" t="s">
        <v>76</v>
      </c>
      <c r="B231" s="521" t="s">
        <v>278</v>
      </c>
      <c r="C231" s="521"/>
      <c r="D231" s="521"/>
      <c r="E231" s="521"/>
      <c r="F231" s="521"/>
      <c r="G231" s="521"/>
      <c r="H231" s="521"/>
      <c r="I231" s="521"/>
      <c r="J231" s="521"/>
      <c r="K231" s="521"/>
      <c r="L231" s="470"/>
    </row>
    <row r="232" spans="1:12" s="466" customFormat="1" ht="39" customHeight="1">
      <c r="A232" s="143" t="s">
        <v>170</v>
      </c>
      <c r="B232" s="521" t="s">
        <v>279</v>
      </c>
      <c r="C232" s="521"/>
      <c r="D232" s="521"/>
      <c r="E232" s="521"/>
      <c r="F232" s="521"/>
      <c r="G232" s="521"/>
      <c r="H232" s="521"/>
      <c r="I232" s="521"/>
      <c r="J232" s="521"/>
      <c r="K232" s="521"/>
      <c r="L232" s="470"/>
    </row>
    <row r="233" spans="1:12" s="466" customFormat="1" ht="12.75"/>
    <row r="234" spans="1:12" s="466" customFormat="1" ht="12.75">
      <c r="B234" s="466" t="s">
        <v>484</v>
      </c>
    </row>
    <row r="235" spans="1:12" ht="45" customHeight="1">
      <c r="A235" s="466"/>
      <c r="B235" s="466"/>
      <c r="C235" s="252"/>
      <c r="I235" s="466"/>
      <c r="L235" s="143" t="s">
        <v>366</v>
      </c>
    </row>
    <row r="236" spans="1:12" s="466" customFormat="1" ht="12.75">
      <c r="A236" s="245" t="s">
        <v>35</v>
      </c>
      <c r="B236" s="245"/>
      <c r="C236" s="245"/>
      <c r="D236" s="245"/>
      <c r="E236" s="245"/>
      <c r="F236" s="245"/>
      <c r="G236" s="245"/>
      <c r="H236" s="245"/>
      <c r="I236" s="245"/>
      <c r="J236" s="245"/>
      <c r="K236" s="245"/>
      <c r="L236" s="25"/>
    </row>
    <row r="237" spans="1:12" s="466" customFormat="1" ht="12.75">
      <c r="A237" s="245" t="s">
        <v>247</v>
      </c>
      <c r="B237" s="245"/>
      <c r="C237" s="245"/>
      <c r="D237" s="245"/>
      <c r="E237" s="245"/>
      <c r="F237" s="245"/>
      <c r="G237" s="245"/>
      <c r="H237" s="245"/>
      <c r="I237" s="245"/>
      <c r="J237" s="245"/>
      <c r="K237" s="245"/>
      <c r="L237" s="25"/>
    </row>
    <row r="238" spans="1:12" s="466" customFormat="1" ht="12.75">
      <c r="A238" s="245" t="s">
        <v>248</v>
      </c>
      <c r="B238" s="245"/>
      <c r="C238" s="245"/>
      <c r="D238" s="245"/>
      <c r="E238" s="245"/>
      <c r="F238" s="245"/>
      <c r="G238" s="245"/>
      <c r="H238" s="245"/>
      <c r="I238" s="245"/>
      <c r="J238" s="245"/>
      <c r="K238" s="245"/>
      <c r="L238" s="25"/>
    </row>
    <row r="239" spans="1:12" s="466" customFormat="1" ht="12.75">
      <c r="A239" s="298"/>
      <c r="B239" s="298"/>
      <c r="C239" s="298"/>
      <c r="D239" s="298"/>
      <c r="E239" s="298"/>
      <c r="F239" s="298"/>
      <c r="G239" s="298"/>
      <c r="H239" s="298"/>
      <c r="I239" s="298"/>
    </row>
    <row r="240" spans="1:12" s="466" customFormat="1" ht="12.75">
      <c r="A240" s="298"/>
      <c r="B240" s="298"/>
      <c r="C240" s="298"/>
      <c r="D240" s="298"/>
      <c r="E240" s="298"/>
      <c r="F240" s="298"/>
      <c r="G240" s="298"/>
      <c r="H240" s="298"/>
      <c r="I240" s="298"/>
    </row>
    <row r="241" spans="1:11" s="466" customFormat="1" ht="12.75">
      <c r="A241" s="467"/>
      <c r="B241" s="467" t="s">
        <v>280</v>
      </c>
      <c r="C241" s="467"/>
      <c r="D241" s="467"/>
      <c r="E241" s="467"/>
      <c r="F241" s="467"/>
      <c r="G241" s="467"/>
      <c r="H241" s="467"/>
      <c r="I241" s="467"/>
      <c r="J241" s="467"/>
      <c r="K241" s="467"/>
    </row>
    <row r="242" spans="1:11" s="466" customFormat="1" ht="12.75"/>
    <row r="243" spans="1:11" s="466" customFormat="1" ht="12.75">
      <c r="C243" s="252" t="s">
        <v>197</v>
      </c>
      <c r="D243" s="518" t="s">
        <v>294</v>
      </c>
      <c r="E243" s="518"/>
      <c r="F243" s="518"/>
      <c r="G243" s="518"/>
      <c r="H243" s="518"/>
      <c r="I243" s="518"/>
      <c r="J243" s="518"/>
      <c r="K243" s="252"/>
    </row>
    <row r="244" spans="1:11" s="466" customFormat="1" ht="12.75">
      <c r="C244" s="26" t="s">
        <v>8</v>
      </c>
      <c r="D244" s="77">
        <f t="shared" ref="D244:J244" si="62">D217</f>
        <v>12</v>
      </c>
      <c r="E244" s="77">
        <f t="shared" si="62"/>
        <v>24</v>
      </c>
      <c r="F244" s="77">
        <f t="shared" si="62"/>
        <v>36</v>
      </c>
      <c r="G244" s="77">
        <f t="shared" si="62"/>
        <v>48</v>
      </c>
      <c r="H244" s="77">
        <f t="shared" si="62"/>
        <v>60</v>
      </c>
      <c r="I244" s="77">
        <f t="shared" si="62"/>
        <v>72</v>
      </c>
      <c r="J244" s="77">
        <f t="shared" si="62"/>
        <v>84</v>
      </c>
      <c r="K244" s="77"/>
    </row>
    <row r="245" spans="1:11" s="466" customFormat="1" ht="4.5" customHeight="1"/>
    <row r="246" spans="1:11" s="466" customFormat="1" ht="12.75">
      <c r="C246" s="252">
        <f t="shared" ref="C246:C255" si="63">C219</f>
        <v>2012</v>
      </c>
      <c r="D246" s="482"/>
      <c r="E246" s="482" t="s">
        <v>34</v>
      </c>
      <c r="F246" s="482" t="s">
        <v>34</v>
      </c>
      <c r="G246" s="482"/>
      <c r="H246" s="482"/>
      <c r="I246" s="482"/>
      <c r="J246" s="363">
        <v>227273.48340202644</v>
      </c>
      <c r="K246" s="73"/>
    </row>
    <row r="247" spans="1:11" s="466" customFormat="1" ht="12.75">
      <c r="C247" s="252">
        <f t="shared" si="63"/>
        <v>2013</v>
      </c>
      <c r="D247" s="482"/>
      <c r="E247" s="482" t="s">
        <v>34</v>
      </c>
      <c r="F247" s="482"/>
      <c r="G247" s="482"/>
      <c r="H247" s="482"/>
      <c r="I247" s="363">
        <v>230592.99203232222</v>
      </c>
      <c r="J247" s="363">
        <v>233339.52738145346</v>
      </c>
      <c r="K247" s="73"/>
    </row>
    <row r="248" spans="1:11" s="466" customFormat="1" ht="12.75">
      <c r="C248" s="252">
        <f t="shared" si="63"/>
        <v>2014</v>
      </c>
      <c r="D248" s="482"/>
      <c r="E248" s="482"/>
      <c r="F248" s="482"/>
      <c r="G248" s="482"/>
      <c r="H248" s="363">
        <v>248836.26048273186</v>
      </c>
      <c r="I248" s="363">
        <v>251126.82659195148</v>
      </c>
      <c r="J248" s="363">
        <v>253274.52100000001</v>
      </c>
      <c r="K248" s="73"/>
    </row>
    <row r="249" spans="1:11" s="466" customFormat="1" ht="12.75">
      <c r="C249" s="252">
        <f t="shared" si="63"/>
        <v>2015</v>
      </c>
      <c r="D249" s="482"/>
      <c r="E249" s="482"/>
      <c r="F249" s="482"/>
      <c r="G249" s="363">
        <v>255171.07631567356</v>
      </c>
      <c r="H249" s="363">
        <v>260622.01995987783</v>
      </c>
      <c r="I249" s="363">
        <v>263739.40500000003</v>
      </c>
      <c r="J249" s="363">
        <v>266176.24800000002</v>
      </c>
      <c r="K249" s="73"/>
    </row>
    <row r="250" spans="1:11" s="466" customFormat="1" ht="12.75">
      <c r="C250" s="252">
        <f t="shared" si="63"/>
        <v>2016</v>
      </c>
      <c r="D250" s="482"/>
      <c r="E250" s="482"/>
      <c r="F250" s="363">
        <v>265442.36799999996</v>
      </c>
      <c r="G250" s="363">
        <v>273474.087</v>
      </c>
      <c r="H250" s="363">
        <v>278229.52</v>
      </c>
      <c r="I250" s="363">
        <v>282738.24599999998</v>
      </c>
      <c r="J250" s="482"/>
      <c r="K250" s="156"/>
    </row>
    <row r="251" spans="1:11" s="466" customFormat="1" ht="12.75">
      <c r="C251" s="252">
        <f t="shared" si="63"/>
        <v>2017</v>
      </c>
      <c r="D251" s="482"/>
      <c r="E251" s="363">
        <v>273172.86300000001</v>
      </c>
      <c r="F251" s="363">
        <v>284659.42800000001</v>
      </c>
      <c r="G251" s="363">
        <v>291355.98</v>
      </c>
      <c r="H251" s="363">
        <v>296612.821</v>
      </c>
      <c r="I251" s="482"/>
      <c r="J251" s="482"/>
      <c r="K251" s="156"/>
    </row>
    <row r="252" spans="1:11" s="466" customFormat="1" ht="12.75">
      <c r="C252" s="252">
        <f t="shared" si="63"/>
        <v>2018</v>
      </c>
      <c r="D252" s="363">
        <v>199890.51699999999</v>
      </c>
      <c r="E252" s="363">
        <v>288895.11900000001</v>
      </c>
      <c r="F252" s="363">
        <v>303301.08199999999</v>
      </c>
      <c r="G252" s="363">
        <v>315990.826</v>
      </c>
      <c r="H252" s="482"/>
      <c r="I252" s="482"/>
      <c r="J252" s="482"/>
      <c r="K252" s="156"/>
    </row>
    <row r="253" spans="1:11" s="466" customFormat="1" ht="12.75">
      <c r="C253" s="252">
        <f t="shared" si="63"/>
        <v>2019</v>
      </c>
      <c r="D253" s="363">
        <v>197062.37400000001</v>
      </c>
      <c r="E253" s="363">
        <v>289434.25599999999</v>
      </c>
      <c r="F253" s="363">
        <v>308792.14299999998</v>
      </c>
      <c r="G253" s="482"/>
      <c r="H253" s="482"/>
      <c r="I253" s="482"/>
      <c r="J253" s="482"/>
      <c r="K253" s="156"/>
    </row>
    <row r="254" spans="1:11" s="466" customFormat="1" ht="12.75">
      <c r="C254" s="252">
        <f t="shared" si="63"/>
        <v>2020</v>
      </c>
      <c r="D254" s="363">
        <v>156675.91421000002</v>
      </c>
      <c r="E254" s="363">
        <v>235822.34599999999</v>
      </c>
      <c r="F254" s="482"/>
      <c r="G254" s="482"/>
      <c r="H254" s="482"/>
      <c r="I254" s="482"/>
      <c r="J254" s="482"/>
      <c r="K254" s="156"/>
    </row>
    <row r="255" spans="1:11" s="466" customFormat="1" ht="12.75">
      <c r="C255" s="252">
        <f t="shared" si="63"/>
        <v>2021</v>
      </c>
      <c r="D255" s="363">
        <v>173375.19099999999</v>
      </c>
      <c r="E255" s="482"/>
      <c r="F255" s="482"/>
      <c r="G255" s="482"/>
      <c r="H255" s="482"/>
      <c r="I255" s="482"/>
      <c r="J255" s="482"/>
      <c r="K255" s="156"/>
    </row>
    <row r="256" spans="1:11" s="466" customFormat="1" ht="12.75">
      <c r="D256" s="156"/>
      <c r="F256" s="156"/>
      <c r="G256" s="156"/>
      <c r="H256" s="156"/>
      <c r="I256" s="156"/>
      <c r="J256" s="156"/>
      <c r="K256" s="156"/>
    </row>
    <row r="257" spans="1:11" s="466" customFormat="1" ht="12.75">
      <c r="A257" s="467"/>
      <c r="B257" s="467" t="s">
        <v>310</v>
      </c>
      <c r="C257" s="467"/>
      <c r="D257" s="467"/>
      <c r="E257" s="467"/>
      <c r="F257" s="467"/>
      <c r="G257" s="467"/>
      <c r="H257" s="467"/>
      <c r="I257" s="467"/>
      <c r="J257" s="467"/>
      <c r="K257" s="467"/>
    </row>
    <row r="258" spans="1:11" s="466" customFormat="1" ht="12.75"/>
    <row r="259" spans="1:11" s="466" customFormat="1" ht="12.75">
      <c r="C259" s="252" t="s">
        <v>197</v>
      </c>
      <c r="D259" s="518" t="s">
        <v>294</v>
      </c>
      <c r="E259" s="518"/>
      <c r="F259" s="518"/>
      <c r="G259" s="518"/>
      <c r="H259" s="518"/>
      <c r="I259" s="518"/>
      <c r="J259" s="518"/>
      <c r="K259" s="252"/>
    </row>
    <row r="260" spans="1:11" s="466" customFormat="1" ht="12.75">
      <c r="C260" s="26" t="s">
        <v>8</v>
      </c>
      <c r="D260" s="77">
        <f t="shared" ref="D260:J260" si="64">+D244</f>
        <v>12</v>
      </c>
      <c r="E260" s="77">
        <f t="shared" si="64"/>
        <v>24</v>
      </c>
      <c r="F260" s="77">
        <f t="shared" si="64"/>
        <v>36</v>
      </c>
      <c r="G260" s="77">
        <f t="shared" si="64"/>
        <v>48</v>
      </c>
      <c r="H260" s="77">
        <f t="shared" si="64"/>
        <v>60</v>
      </c>
      <c r="I260" s="77">
        <f t="shared" si="64"/>
        <v>72</v>
      </c>
      <c r="J260" s="77">
        <f t="shared" si="64"/>
        <v>84</v>
      </c>
      <c r="K260" s="77"/>
    </row>
    <row r="261" spans="1:11" s="466" customFormat="1" ht="4.5" customHeight="1"/>
    <row r="262" spans="1:11" s="466" customFormat="1" ht="12.75">
      <c r="C262" s="252">
        <f t="shared" ref="C262:C271" si="65">+C246</f>
        <v>2012</v>
      </c>
      <c r="D262" s="73"/>
      <c r="E262" s="73"/>
      <c r="F262" s="73"/>
      <c r="G262" s="73"/>
      <c r="H262" s="363"/>
      <c r="I262" s="363"/>
      <c r="J262" s="363">
        <v>3558706.4494969649</v>
      </c>
      <c r="K262" s="73"/>
    </row>
    <row r="263" spans="1:11" s="466" customFormat="1" ht="12.75">
      <c r="C263" s="252">
        <f t="shared" si="65"/>
        <v>2013</v>
      </c>
      <c r="D263" s="73"/>
      <c r="E263" s="73"/>
      <c r="F263" s="73"/>
      <c r="G263" s="73"/>
      <c r="H263" s="363"/>
      <c r="I263" s="363">
        <v>3059099.5197295593</v>
      </c>
      <c r="J263" s="363">
        <v>3185174.1553664133</v>
      </c>
      <c r="K263" s="73"/>
    </row>
    <row r="264" spans="1:11" s="466" customFormat="1" ht="12.75">
      <c r="C264" s="252">
        <f t="shared" si="65"/>
        <v>2014</v>
      </c>
      <c r="D264" s="73"/>
      <c r="E264" s="73"/>
      <c r="F264" s="73"/>
      <c r="G264" s="73"/>
      <c r="H264" s="363">
        <v>2908797.6418964649</v>
      </c>
      <c r="I264" s="363">
        <v>3100530.3272140962</v>
      </c>
      <c r="J264" s="363">
        <v>3220359.1521026734</v>
      </c>
      <c r="K264" s="73"/>
    </row>
    <row r="265" spans="1:11" s="466" customFormat="1" ht="12.75">
      <c r="C265" s="252">
        <f t="shared" si="65"/>
        <v>2015</v>
      </c>
      <c r="D265" s="73"/>
      <c r="E265" s="73"/>
      <c r="F265" s="73"/>
      <c r="G265" s="215">
        <f t="shared" ref="G265:I265" si="66">G249+G222+G148</f>
        <v>2658896.8910361603</v>
      </c>
      <c r="H265" s="215">
        <f t="shared" si="66"/>
        <v>2950571.8510485743</v>
      </c>
      <c r="I265" s="215">
        <f t="shared" si="66"/>
        <v>3128921.2624118198</v>
      </c>
      <c r="J265" s="215">
        <f>J249+J222+J148</f>
        <v>3261472.372</v>
      </c>
      <c r="K265" s="73"/>
    </row>
    <row r="266" spans="1:11" s="466" customFormat="1" ht="12.75">
      <c r="C266" s="252">
        <f t="shared" si="65"/>
        <v>2016</v>
      </c>
      <c r="D266" s="73"/>
      <c r="E266" s="73"/>
      <c r="F266" s="215">
        <f t="shared" ref="F266:H266" si="67">F250+F223+F149</f>
        <v>2194852.8576625548</v>
      </c>
      <c r="G266" s="215">
        <f t="shared" si="67"/>
        <v>2642946.6306377267</v>
      </c>
      <c r="H266" s="215">
        <f t="shared" si="67"/>
        <v>2921708.9453340406</v>
      </c>
      <c r="I266" s="215">
        <f>I250+I223+I149</f>
        <v>3108821.1809999999</v>
      </c>
      <c r="J266" s="73"/>
      <c r="K266" s="73"/>
    </row>
    <row r="267" spans="1:11" s="466" customFormat="1" ht="12.75">
      <c r="C267" s="252">
        <f t="shared" si="65"/>
        <v>2017</v>
      </c>
      <c r="D267" s="73"/>
      <c r="E267" s="215">
        <f t="shared" ref="D267:E270" si="68">E251+E224+E150</f>
        <v>1604059.1144433683</v>
      </c>
      <c r="F267" s="215">
        <f t="shared" ref="F267:G267" si="69">F251+F224+F150</f>
        <v>2222279.6409162628</v>
      </c>
      <c r="G267" s="215">
        <f t="shared" si="69"/>
        <v>2660678.4486445691</v>
      </c>
      <c r="H267" s="215">
        <f>H251+H224+H150</f>
        <v>2957309.054</v>
      </c>
      <c r="I267" s="73"/>
      <c r="J267" s="73"/>
      <c r="K267" s="73"/>
    </row>
    <row r="268" spans="1:11" s="466" customFormat="1" ht="12.75">
      <c r="C268" s="252">
        <f t="shared" si="65"/>
        <v>2018</v>
      </c>
      <c r="D268" s="215">
        <f t="shared" si="68"/>
        <v>731420.65427244501</v>
      </c>
      <c r="E268" s="215">
        <f t="shared" si="68"/>
        <v>1704806.3240024121</v>
      </c>
      <c r="F268" s="215">
        <f t="shared" ref="F268" si="70">F252+F225+F151</f>
        <v>2357165.5725999922</v>
      </c>
      <c r="G268" s="215">
        <f>G252+G225+G151</f>
        <v>2869843.0090000001</v>
      </c>
      <c r="H268" s="73"/>
      <c r="I268" s="73"/>
      <c r="J268" s="73"/>
      <c r="K268" s="73"/>
    </row>
    <row r="269" spans="1:11" s="466" customFormat="1" ht="12.75">
      <c r="C269" s="252">
        <f t="shared" si="65"/>
        <v>2019</v>
      </c>
      <c r="D269" s="215">
        <f t="shared" si="68"/>
        <v>729422.77246274881</v>
      </c>
      <c r="E269" s="215">
        <f t="shared" si="68"/>
        <v>1701132.0084160231</v>
      </c>
      <c r="F269" s="215">
        <f>F253+F226+F152</f>
        <v>2444133.679</v>
      </c>
      <c r="G269" s="73"/>
      <c r="H269" s="73"/>
      <c r="I269" s="73"/>
      <c r="J269" s="73"/>
      <c r="K269" s="73"/>
    </row>
    <row r="270" spans="1:11" s="466" customFormat="1" ht="12.75">
      <c r="C270" s="252">
        <f t="shared" si="65"/>
        <v>2020</v>
      </c>
      <c r="D270" s="215">
        <f t="shared" si="68"/>
        <v>619287.02276739525</v>
      </c>
      <c r="E270" s="215">
        <f>E254+E227+E153</f>
        <v>1542342.9569999999</v>
      </c>
      <c r="F270" s="73"/>
      <c r="G270" s="73"/>
      <c r="H270" s="73"/>
      <c r="I270" s="73"/>
      <c r="J270" s="73"/>
      <c r="K270" s="73"/>
    </row>
    <row r="271" spans="1:11" s="466" customFormat="1" ht="12.75">
      <c r="C271" s="252">
        <f t="shared" si="65"/>
        <v>2021</v>
      </c>
      <c r="D271" s="215">
        <f>D255+D228+D154</f>
        <v>680755.62600000005</v>
      </c>
      <c r="E271" s="73"/>
      <c r="F271" s="73"/>
      <c r="G271" s="73"/>
      <c r="H271" s="73"/>
      <c r="I271" s="73"/>
      <c r="J271" s="73"/>
      <c r="K271" s="73"/>
    </row>
    <row r="272" spans="1:11" s="466" customFormat="1" ht="12.75">
      <c r="D272" s="73"/>
      <c r="F272" s="73"/>
      <c r="G272" s="73"/>
    </row>
    <row r="273" spans="1:11" s="466" customFormat="1" ht="12.75">
      <c r="A273" s="467"/>
      <c r="B273" s="467" t="s">
        <v>281</v>
      </c>
      <c r="C273" s="467"/>
      <c r="D273" s="467"/>
      <c r="E273" s="467"/>
      <c r="F273" s="467"/>
      <c r="G273" s="467"/>
      <c r="H273" s="467"/>
      <c r="I273" s="467"/>
      <c r="J273" s="467"/>
      <c r="K273" s="467"/>
    </row>
    <row r="274" spans="1:11" s="466" customFormat="1" ht="12.75"/>
    <row r="275" spans="1:11" s="466" customFormat="1" ht="12.75">
      <c r="C275" s="252" t="s">
        <v>197</v>
      </c>
      <c r="D275" s="518" t="s">
        <v>294</v>
      </c>
      <c r="E275" s="518"/>
      <c r="F275" s="518"/>
      <c r="G275" s="518"/>
      <c r="H275" s="518"/>
      <c r="I275" s="518"/>
    </row>
    <row r="276" spans="1:11" s="466" customFormat="1" ht="12.75">
      <c r="C276" s="26" t="s">
        <v>8</v>
      </c>
      <c r="D276" s="77" t="str">
        <f t="shared" ref="D276:I276" si="71">+D260&amp;"-"&amp;E260</f>
        <v>12-24</v>
      </c>
      <c r="E276" s="77" t="str">
        <f t="shared" si="71"/>
        <v>24-36</v>
      </c>
      <c r="F276" s="77" t="str">
        <f t="shared" si="71"/>
        <v>36-48</v>
      </c>
      <c r="G276" s="77" t="str">
        <f t="shared" si="71"/>
        <v>48-60</v>
      </c>
      <c r="H276" s="77" t="str">
        <f t="shared" si="71"/>
        <v>60-72</v>
      </c>
      <c r="I276" s="77" t="str">
        <f t="shared" si="71"/>
        <v>72-84</v>
      </c>
    </row>
    <row r="277" spans="1:11" s="466" customFormat="1" ht="4.5" customHeight="1"/>
    <row r="278" spans="1:11" s="466" customFormat="1" ht="12.75">
      <c r="C278" s="252">
        <f t="shared" ref="C278:C285" si="72">+C247</f>
        <v>2013</v>
      </c>
      <c r="D278" s="144"/>
      <c r="E278" s="144"/>
      <c r="F278" s="144"/>
      <c r="G278" s="144"/>
      <c r="H278" s="144"/>
      <c r="I278" s="144">
        <f>J263/I263</f>
        <v>1.0412129892550863</v>
      </c>
    </row>
    <row r="279" spans="1:11" s="466" customFormat="1" ht="12.75">
      <c r="C279" s="252">
        <f t="shared" si="72"/>
        <v>2014</v>
      </c>
      <c r="D279" s="144"/>
      <c r="E279" s="144"/>
      <c r="F279" s="144"/>
      <c r="G279" s="144"/>
      <c r="H279" s="144">
        <f>I264/H264</f>
        <v>1.0659147554838591</v>
      </c>
      <c r="I279" s="144">
        <f t="shared" ref="I279" si="73">J264/I264</f>
        <v>1.0386478480267749</v>
      </c>
    </row>
    <row r="280" spans="1:11" s="466" customFormat="1" ht="12.75">
      <c r="C280" s="252">
        <f t="shared" si="72"/>
        <v>2015</v>
      </c>
      <c r="D280" s="144"/>
      <c r="E280" s="144"/>
      <c r="F280" s="144"/>
      <c r="G280" s="144">
        <f>H265/G265</f>
        <v>1.1096977325430433</v>
      </c>
      <c r="H280" s="144">
        <f t="shared" ref="H280:I280" si="74">I265/H265</f>
        <v>1.0604457103120073</v>
      </c>
      <c r="I280" s="144">
        <f t="shared" si="74"/>
        <v>1.0423631975596623</v>
      </c>
    </row>
    <row r="281" spans="1:11" s="466" customFormat="1" ht="12.75">
      <c r="C281" s="252">
        <f t="shared" si="72"/>
        <v>2016</v>
      </c>
      <c r="D281" s="144"/>
      <c r="E281" s="144"/>
      <c r="F281" s="144">
        <f>G266/F266</f>
        <v>1.2041566346512982</v>
      </c>
      <c r="G281" s="144">
        <f t="shared" ref="G281:H281" si="75">H266/G266</f>
        <v>1.1054740612106306</v>
      </c>
      <c r="H281" s="144">
        <f t="shared" si="75"/>
        <v>1.0640420518151805</v>
      </c>
      <c r="I281" s="144"/>
    </row>
    <row r="282" spans="1:11" s="466" customFormat="1" ht="12.75">
      <c r="C282" s="252">
        <f t="shared" si="72"/>
        <v>2017</v>
      </c>
      <c r="D282" s="144"/>
      <c r="E282" s="144">
        <f>F267/E267</f>
        <v>1.3854100643213676</v>
      </c>
      <c r="F282" s="144">
        <f t="shared" ref="F282:G282" si="76">G267/F267</f>
        <v>1.1972743662213237</v>
      </c>
      <c r="G282" s="144">
        <f t="shared" si="76"/>
        <v>1.1114868297995737</v>
      </c>
      <c r="H282" s="144"/>
      <c r="I282" s="144"/>
    </row>
    <row r="283" spans="1:11" s="466" customFormat="1" ht="12.75">
      <c r="C283" s="252">
        <f t="shared" si="72"/>
        <v>2018</v>
      </c>
      <c r="D283" s="144">
        <f>E268/D268</f>
        <v>2.3308151253921157</v>
      </c>
      <c r="E283" s="144">
        <f t="shared" ref="D283:E285" si="77">F268/E268</f>
        <v>1.3826588624249243</v>
      </c>
      <c r="F283" s="144">
        <f t="shared" ref="F283" si="78">G268/F268</f>
        <v>1.2174974224803887</v>
      </c>
      <c r="G283" s="144"/>
      <c r="H283" s="144"/>
      <c r="I283" s="144"/>
    </row>
    <row r="284" spans="1:11" s="466" customFormat="1" ht="12.75">
      <c r="C284" s="252">
        <f t="shared" si="72"/>
        <v>2019</v>
      </c>
      <c r="D284" s="144">
        <f t="shared" si="77"/>
        <v>2.3321619130048465</v>
      </c>
      <c r="E284" s="144">
        <f t="shared" si="77"/>
        <v>1.4367689673159514</v>
      </c>
      <c r="F284" s="144"/>
      <c r="G284" s="144"/>
      <c r="H284" s="144"/>
      <c r="I284" s="144"/>
    </row>
    <row r="285" spans="1:11" s="466" customFormat="1" ht="12.75">
      <c r="C285" s="252">
        <f t="shared" si="72"/>
        <v>2020</v>
      </c>
      <c r="D285" s="144">
        <f t="shared" si="77"/>
        <v>2.4905139302092323</v>
      </c>
      <c r="F285" s="144"/>
      <c r="G285" s="144"/>
      <c r="H285" s="144"/>
      <c r="I285" s="144"/>
    </row>
    <row r="286" spans="1:11" s="466" customFormat="1" ht="12.75">
      <c r="C286" s="252"/>
      <c r="D286" s="144"/>
    </row>
    <row r="287" spans="1:11" s="466" customFormat="1" ht="12.75">
      <c r="C287" s="466" t="s">
        <v>251</v>
      </c>
      <c r="D287" s="144">
        <f>D285</f>
        <v>2.4905139302092323</v>
      </c>
      <c r="E287" s="144">
        <f>E284</f>
        <v>1.4367689673159514</v>
      </c>
      <c r="F287" s="144">
        <f>F283</f>
        <v>1.2174974224803887</v>
      </c>
      <c r="G287" s="144">
        <f>G282</f>
        <v>1.1114868297995737</v>
      </c>
      <c r="H287" s="144">
        <f>H281</f>
        <v>1.0640420518151805</v>
      </c>
      <c r="I287" s="144">
        <f>I280</f>
        <v>1.0423631975596623</v>
      </c>
    </row>
    <row r="288" spans="1:11" s="466" customFormat="1" ht="12.75"/>
    <row r="289" spans="1:12" s="466" customFormat="1" ht="39.950000000000003" customHeight="1">
      <c r="A289" s="143" t="s">
        <v>172</v>
      </c>
      <c r="B289" s="521" t="s">
        <v>311</v>
      </c>
      <c r="C289" s="521"/>
      <c r="D289" s="521"/>
      <c r="E289" s="521"/>
      <c r="F289" s="521"/>
      <c r="G289" s="521"/>
      <c r="H289" s="521"/>
      <c r="I289" s="521"/>
      <c r="J289" s="521"/>
      <c r="K289" s="521"/>
    </row>
    <row r="290" spans="1:12" s="466" customFormat="1" ht="12.75"/>
    <row r="291" spans="1:12" s="466" customFormat="1" ht="12.75">
      <c r="B291" s="466" t="s">
        <v>484</v>
      </c>
    </row>
    <row r="292" spans="1:12" ht="45" customHeight="1">
      <c r="A292" s="466"/>
      <c r="B292" s="466"/>
      <c r="C292" s="466"/>
      <c r="D292" s="144"/>
      <c r="E292" s="144"/>
      <c r="F292" s="144"/>
      <c r="G292" s="144"/>
      <c r="H292" s="144"/>
      <c r="I292" s="466"/>
      <c r="L292" s="143" t="s">
        <v>367</v>
      </c>
    </row>
    <row r="293" spans="1:12" s="466" customFormat="1" ht="12.75">
      <c r="A293" s="245" t="s">
        <v>35</v>
      </c>
      <c r="B293" s="245"/>
      <c r="C293" s="245"/>
      <c r="D293" s="245"/>
      <c r="E293" s="245"/>
      <c r="F293" s="245"/>
      <c r="G293" s="245"/>
      <c r="H293" s="245"/>
      <c r="I293" s="245"/>
      <c r="J293" s="245"/>
      <c r="K293" s="245"/>
      <c r="L293" s="245"/>
    </row>
    <row r="294" spans="1:12" s="466" customFormat="1" ht="12.75">
      <c r="A294" s="245" t="s">
        <v>247</v>
      </c>
      <c r="B294" s="245"/>
      <c r="C294" s="245"/>
      <c r="D294" s="245"/>
      <c r="E294" s="245"/>
      <c r="F294" s="245"/>
      <c r="G294" s="245"/>
      <c r="H294" s="245"/>
      <c r="I294" s="245"/>
      <c r="J294" s="245"/>
      <c r="K294" s="245"/>
      <c r="L294" s="245"/>
    </row>
    <row r="295" spans="1:12" s="466" customFormat="1" ht="12.75">
      <c r="A295" s="245" t="s">
        <v>248</v>
      </c>
      <c r="B295" s="245"/>
      <c r="C295" s="245"/>
      <c r="D295" s="245"/>
      <c r="E295" s="245"/>
      <c r="F295" s="245"/>
      <c r="G295" s="245"/>
      <c r="H295" s="245"/>
      <c r="I295" s="245"/>
      <c r="J295" s="245"/>
      <c r="K295" s="245"/>
      <c r="L295" s="245"/>
    </row>
    <row r="296" spans="1:12" s="466" customFormat="1" ht="12.75">
      <c r="A296" s="298"/>
      <c r="B296" s="298"/>
      <c r="C296" s="298"/>
      <c r="D296" s="298"/>
      <c r="E296" s="298"/>
      <c r="F296" s="298"/>
      <c r="G296" s="298"/>
      <c r="H296" s="298"/>
      <c r="I296" s="298"/>
      <c r="J296" s="298"/>
      <c r="K296" s="298"/>
      <c r="L296" s="298"/>
    </row>
    <row r="297" spans="1:12" s="466" customFormat="1" ht="12.75">
      <c r="A297" s="298"/>
      <c r="B297" s="298"/>
      <c r="C297" s="298"/>
      <c r="D297" s="298"/>
      <c r="E297" s="298"/>
      <c r="F297" s="298"/>
      <c r="G297" s="298"/>
      <c r="H297" s="298"/>
      <c r="I297" s="298"/>
      <c r="J297" s="298"/>
      <c r="K297" s="298"/>
      <c r="L297" s="298"/>
    </row>
    <row r="298" spans="1:12" s="466" customFormat="1" ht="12.75">
      <c r="A298" s="467"/>
      <c r="B298" s="467" t="s">
        <v>312</v>
      </c>
      <c r="C298" s="467"/>
      <c r="D298" s="467"/>
      <c r="E298" s="467"/>
      <c r="F298" s="467"/>
      <c r="G298" s="467"/>
      <c r="H298" s="467"/>
      <c r="I298" s="467"/>
    </row>
    <row r="299" spans="1:12" s="466" customFormat="1" ht="12.75"/>
    <row r="300" spans="1:12" s="466" customFormat="1" ht="12.75">
      <c r="C300" s="252" t="s">
        <v>197</v>
      </c>
      <c r="D300" s="518" t="s">
        <v>294</v>
      </c>
      <c r="E300" s="518"/>
      <c r="F300" s="518"/>
      <c r="G300" s="518"/>
      <c r="H300" s="518"/>
      <c r="I300" s="518"/>
    </row>
    <row r="301" spans="1:12" s="466" customFormat="1" ht="12.75">
      <c r="C301" s="26" t="s">
        <v>8</v>
      </c>
      <c r="D301" s="77" t="str">
        <f t="shared" ref="D301:I301" si="79">D276</f>
        <v>12-24</v>
      </c>
      <c r="E301" s="77" t="str">
        <f t="shared" si="79"/>
        <v>24-36</v>
      </c>
      <c r="F301" s="77" t="str">
        <f t="shared" si="79"/>
        <v>36-48</v>
      </c>
      <c r="G301" s="77" t="str">
        <f t="shared" si="79"/>
        <v>48-60</v>
      </c>
      <c r="H301" s="77" t="str">
        <f t="shared" si="79"/>
        <v>60-72</v>
      </c>
      <c r="I301" s="77" t="str">
        <f t="shared" si="79"/>
        <v>72-84</v>
      </c>
    </row>
    <row r="302" spans="1:12" s="466" customFormat="1" ht="4.5" customHeight="1"/>
    <row r="303" spans="1:12" s="466" customFormat="1" ht="12.75">
      <c r="C303" s="252">
        <f t="shared" ref="C303:C310" si="80">C278</f>
        <v>2013</v>
      </c>
      <c r="D303" s="365"/>
      <c r="E303" s="365"/>
      <c r="F303" s="365"/>
      <c r="G303" s="365"/>
      <c r="H303" s="365"/>
      <c r="I303" s="365">
        <v>1.0479654382356736</v>
      </c>
    </row>
    <row r="304" spans="1:12" s="466" customFormat="1" ht="12.75">
      <c r="C304" s="252">
        <f t="shared" si="80"/>
        <v>2014</v>
      </c>
      <c r="D304" s="365"/>
      <c r="E304" s="365"/>
      <c r="F304" s="365"/>
      <c r="G304" s="365"/>
      <c r="H304" s="365">
        <v>1.0753082561405749</v>
      </c>
      <c r="I304" s="365">
        <v>1.0429541596365801</v>
      </c>
    </row>
    <row r="305" spans="1:12" s="466" customFormat="1" ht="12.75">
      <c r="C305" s="252">
        <f t="shared" si="80"/>
        <v>2015</v>
      </c>
      <c r="D305" s="365"/>
      <c r="E305" s="365"/>
      <c r="F305" s="365"/>
      <c r="G305" s="365">
        <v>1.1108959000331482</v>
      </c>
      <c r="H305" s="365">
        <v>1.0625033085552444</v>
      </c>
      <c r="I305" s="365">
        <v>1.0441397699711372</v>
      </c>
    </row>
    <row r="306" spans="1:12" s="466" customFormat="1" ht="12.75">
      <c r="C306" s="252">
        <f t="shared" si="80"/>
        <v>2016</v>
      </c>
      <c r="D306" s="365"/>
      <c r="E306" s="365"/>
      <c r="F306" s="365">
        <v>1.1965364508286254</v>
      </c>
      <c r="G306" s="365">
        <v>1.0989156750256066</v>
      </c>
      <c r="H306" s="365">
        <v>1.0643338049862037</v>
      </c>
      <c r="I306" s="365"/>
    </row>
    <row r="307" spans="1:12" s="466" customFormat="1" ht="12.75">
      <c r="C307" s="252">
        <f t="shared" si="80"/>
        <v>2017</v>
      </c>
      <c r="D307" s="365"/>
      <c r="E307" s="365">
        <v>1.391356209007707</v>
      </c>
      <c r="F307" s="365">
        <v>1.1774656916241037</v>
      </c>
      <c r="G307" s="365">
        <v>1.1037359000498435</v>
      </c>
      <c r="H307" s="365"/>
      <c r="I307" s="365"/>
    </row>
    <row r="308" spans="1:12" s="466" customFormat="1" ht="12.75">
      <c r="C308" s="252">
        <f t="shared" si="80"/>
        <v>2018</v>
      </c>
      <c r="D308" s="365">
        <v>2.3790258687573393</v>
      </c>
      <c r="E308" s="365">
        <v>1.3781414519387787</v>
      </c>
      <c r="F308" s="365">
        <v>1.1967258910156162</v>
      </c>
      <c r="G308" s="365"/>
      <c r="H308" s="365"/>
      <c r="I308" s="365"/>
    </row>
    <row r="309" spans="1:12" s="466" customFormat="1" ht="12.75">
      <c r="C309" s="252">
        <f t="shared" si="80"/>
        <v>2019</v>
      </c>
      <c r="D309" s="365">
        <v>2.3472822692798028</v>
      </c>
      <c r="E309" s="365">
        <v>1.4280149841549807</v>
      </c>
      <c r="F309" s="365"/>
      <c r="G309" s="365"/>
      <c r="H309" s="365"/>
      <c r="I309" s="365"/>
    </row>
    <row r="310" spans="1:12" s="466" customFormat="1" ht="12.75">
      <c r="C310" s="252">
        <f t="shared" si="80"/>
        <v>2020</v>
      </c>
      <c r="D310" s="365">
        <v>2.4924630118366338</v>
      </c>
      <c r="E310" s="489"/>
      <c r="F310" s="365"/>
      <c r="G310" s="365"/>
      <c r="H310" s="365"/>
      <c r="I310" s="365"/>
    </row>
    <row r="311" spans="1:12" s="466" customFormat="1" ht="12.75">
      <c r="A311" s="298"/>
      <c r="B311" s="298"/>
      <c r="C311" s="298"/>
      <c r="D311" s="298"/>
      <c r="F311" s="298"/>
      <c r="G311" s="298"/>
      <c r="H311" s="298"/>
      <c r="I311" s="298"/>
      <c r="J311" s="298"/>
      <c r="K311" s="298"/>
      <c r="L311" s="298"/>
    </row>
    <row r="312" spans="1:12" s="466" customFormat="1" ht="12.75">
      <c r="A312" s="467"/>
      <c r="B312" s="467" t="s">
        <v>313</v>
      </c>
      <c r="C312" s="467"/>
      <c r="D312" s="467"/>
      <c r="E312" s="467"/>
      <c r="F312" s="467"/>
      <c r="G312" s="467"/>
      <c r="H312" s="467"/>
      <c r="I312" s="467"/>
    </row>
    <row r="313" spans="1:12" s="466" customFormat="1" ht="12.75"/>
    <row r="314" spans="1:12" s="466" customFormat="1" ht="12.75">
      <c r="C314" s="252" t="s">
        <v>197</v>
      </c>
      <c r="D314" s="518" t="s">
        <v>294</v>
      </c>
      <c r="E314" s="518"/>
      <c r="F314" s="518"/>
      <c r="G314" s="518"/>
      <c r="H314" s="518"/>
      <c r="I314" s="518"/>
      <c r="J314" s="252"/>
      <c r="K314" s="252"/>
    </row>
    <row r="315" spans="1:12" s="466" customFormat="1" ht="12.75">
      <c r="C315" s="26" t="s">
        <v>8</v>
      </c>
      <c r="D315" s="77" t="str">
        <f t="shared" ref="D315:I315" si="81">D301</f>
        <v>12-24</v>
      </c>
      <c r="E315" s="77" t="str">
        <f t="shared" si="81"/>
        <v>24-36</v>
      </c>
      <c r="F315" s="77" t="str">
        <f t="shared" si="81"/>
        <v>36-48</v>
      </c>
      <c r="G315" s="77" t="str">
        <f t="shared" si="81"/>
        <v>48-60</v>
      </c>
      <c r="H315" s="77" t="str">
        <f t="shared" si="81"/>
        <v>60-72</v>
      </c>
      <c r="I315" s="77" t="str">
        <f t="shared" si="81"/>
        <v>72-84</v>
      </c>
      <c r="L315" s="26"/>
    </row>
    <row r="316" spans="1:12" s="466" customFormat="1" ht="4.5" customHeight="1"/>
    <row r="317" spans="1:12" s="466" customFormat="1" ht="12.75">
      <c r="C317" s="252">
        <f t="shared" ref="C317:C322" si="82">+C303</f>
        <v>2013</v>
      </c>
      <c r="D317" s="476"/>
      <c r="E317" s="476"/>
      <c r="F317" s="476"/>
      <c r="G317" s="476"/>
      <c r="H317" s="476"/>
      <c r="I317" s="146">
        <f>I278/I303-1</f>
        <v>-6.443389003320088E-3</v>
      </c>
      <c r="L317" s="475"/>
    </row>
    <row r="318" spans="1:12" s="466" customFormat="1" ht="12.75">
      <c r="C318" s="252">
        <f t="shared" si="82"/>
        <v>2014</v>
      </c>
      <c r="D318" s="476"/>
      <c r="E318" s="476"/>
      <c r="F318" s="476"/>
      <c r="G318" s="476"/>
      <c r="H318" s="146">
        <f>H279/H304-1</f>
        <v>-8.7356352032768037E-3</v>
      </c>
      <c r="I318" s="146">
        <f t="shared" ref="I318" si="83">I279/I304-1</f>
        <v>-4.1289557839299107E-3</v>
      </c>
      <c r="L318" s="475"/>
    </row>
    <row r="319" spans="1:12" s="466" customFormat="1" ht="12.75">
      <c r="C319" s="252">
        <f t="shared" si="82"/>
        <v>2015</v>
      </c>
      <c r="D319" s="476"/>
      <c r="E319" s="476"/>
      <c r="F319" s="476"/>
      <c r="G319" s="146">
        <f>G280/G305-1</f>
        <v>-1.0785596472803194E-3</v>
      </c>
      <c r="H319" s="146">
        <f t="shared" ref="H319:I319" si="84">H280/H305-1</f>
        <v>-1.9365570221470119E-3</v>
      </c>
      <c r="I319" s="146">
        <f t="shared" si="84"/>
        <v>-1.7014699205681882E-3</v>
      </c>
      <c r="L319" s="475"/>
    </row>
    <row r="320" spans="1:12" s="466" customFormat="1" ht="12.75">
      <c r="C320" s="252">
        <f t="shared" si="82"/>
        <v>2016</v>
      </c>
      <c r="D320" s="476"/>
      <c r="E320" s="476"/>
      <c r="F320" s="146">
        <f>F281/F306-1</f>
        <v>6.3685346295934142E-3</v>
      </c>
      <c r="G320" s="146">
        <f t="shared" ref="G320:H320" si="85">G281/G306-1</f>
        <v>5.9680522664955493E-3</v>
      </c>
      <c r="H320" s="146">
        <f t="shared" si="85"/>
        <v>-2.7411810999178332E-4</v>
      </c>
      <c r="I320" s="476"/>
      <c r="L320" s="475"/>
    </row>
    <row r="321" spans="1:12" s="466" customFormat="1" ht="12.75">
      <c r="C321" s="252">
        <f t="shared" si="82"/>
        <v>2017</v>
      </c>
      <c r="D321" s="476"/>
      <c r="E321" s="146">
        <f>E282/E307-1</f>
        <v>-4.2736321927079324E-3</v>
      </c>
      <c r="F321" s="146">
        <f t="shared" ref="F321:G321" si="86">F282/F307-1</f>
        <v>1.6823143755379633E-2</v>
      </c>
      <c r="G321" s="146">
        <f t="shared" si="86"/>
        <v>7.0224496180473217E-3</v>
      </c>
      <c r="H321" s="476"/>
      <c r="I321" s="476"/>
      <c r="L321" s="475"/>
    </row>
    <row r="322" spans="1:12" s="466" customFormat="1" ht="12.75">
      <c r="C322" s="252">
        <f t="shared" si="82"/>
        <v>2018</v>
      </c>
      <c r="D322" s="146">
        <f>D283/D308-1</f>
        <v>-2.0264909263221331E-2</v>
      </c>
      <c r="E322" s="146">
        <f t="shared" ref="D322:E324" si="87">E283/E308-1</f>
        <v>3.2779004504874809E-3</v>
      </c>
      <c r="F322" s="146">
        <f t="shared" ref="F322" si="88">F283/F308-1</f>
        <v>1.7356966721213452E-2</v>
      </c>
      <c r="G322" s="476"/>
      <c r="H322" s="476"/>
      <c r="I322" s="476"/>
      <c r="L322" s="475"/>
    </row>
    <row r="323" spans="1:12" s="466" customFormat="1" ht="12.75">
      <c r="C323" s="252">
        <f>+C309</f>
        <v>2019</v>
      </c>
      <c r="D323" s="146">
        <f t="shared" si="87"/>
        <v>-6.4416437992331765E-3</v>
      </c>
      <c r="E323" s="146">
        <f t="shared" si="87"/>
        <v>6.1301759842182779E-3</v>
      </c>
      <c r="F323" s="476"/>
      <c r="G323" s="476"/>
      <c r="H323" s="476"/>
      <c r="I323" s="476"/>
      <c r="L323" s="475"/>
    </row>
    <row r="324" spans="1:12" s="466" customFormat="1" ht="12.75">
      <c r="C324" s="252">
        <f>+C310</f>
        <v>2020</v>
      </c>
      <c r="D324" s="146">
        <f t="shared" si="87"/>
        <v>-7.8199019128688541E-4</v>
      </c>
      <c r="E324" s="476"/>
      <c r="F324" s="476"/>
      <c r="G324" s="476"/>
      <c r="H324" s="476"/>
      <c r="I324" s="476"/>
      <c r="L324" s="475"/>
    </row>
    <row r="325" spans="1:12" s="466" customFormat="1" ht="12.75">
      <c r="C325" s="252"/>
      <c r="D325" s="476"/>
      <c r="F325" s="476"/>
      <c r="G325" s="476"/>
      <c r="H325" s="476"/>
      <c r="I325" s="476"/>
      <c r="L325" s="475"/>
    </row>
    <row r="326" spans="1:12" s="466" customFormat="1" ht="12.75" customHeight="1">
      <c r="A326" s="312"/>
      <c r="B326" s="467" t="s">
        <v>381</v>
      </c>
      <c r="C326" s="467"/>
      <c r="D326" s="467"/>
      <c r="E326" s="467"/>
      <c r="F326" s="467"/>
      <c r="G326" s="467"/>
      <c r="H326" s="467"/>
      <c r="I326" s="467"/>
      <c r="J326" s="467"/>
      <c r="K326" s="467"/>
      <c r="L326" s="467"/>
    </row>
    <row r="327" spans="1:12" s="466" customFormat="1" ht="12.75" customHeight="1">
      <c r="A327" s="467"/>
      <c r="B327" s="467" t="s">
        <v>380</v>
      </c>
      <c r="C327" s="467"/>
      <c r="D327" s="467"/>
      <c r="E327" s="467"/>
      <c r="F327" s="467"/>
      <c r="G327" s="467"/>
      <c r="H327" s="467"/>
      <c r="I327" s="467"/>
      <c r="J327" s="467"/>
      <c r="K327" s="467"/>
      <c r="L327" s="467"/>
    </row>
    <row r="328" spans="1:12" s="466" customFormat="1" ht="12.75"/>
    <row r="329" spans="1:12" s="466" customFormat="1" ht="12.75">
      <c r="C329" s="252" t="s">
        <v>197</v>
      </c>
      <c r="D329" s="518" t="s">
        <v>294</v>
      </c>
      <c r="E329" s="518"/>
      <c r="F329" s="518"/>
      <c r="G329" s="518"/>
      <c r="H329" s="518"/>
      <c r="I329" s="518"/>
    </row>
    <row r="330" spans="1:12" s="466" customFormat="1" ht="12.75">
      <c r="C330" s="26" t="s">
        <v>8</v>
      </c>
      <c r="D330" s="77" t="str">
        <f t="shared" ref="D330:I330" si="89">D315</f>
        <v>12-24</v>
      </c>
      <c r="E330" s="77" t="str">
        <f t="shared" si="89"/>
        <v>24-36</v>
      </c>
      <c r="F330" s="77" t="str">
        <f t="shared" si="89"/>
        <v>36-48</v>
      </c>
      <c r="G330" s="77" t="str">
        <f t="shared" si="89"/>
        <v>48-60</v>
      </c>
      <c r="H330" s="77" t="str">
        <f t="shared" si="89"/>
        <v>60-72</v>
      </c>
      <c r="I330" s="77" t="str">
        <f t="shared" si="89"/>
        <v>72-84</v>
      </c>
    </row>
    <row r="331" spans="1:12" s="466" customFormat="1" ht="4.5" customHeight="1"/>
    <row r="332" spans="1:12" s="466" customFormat="1" ht="12" customHeight="1">
      <c r="C332" s="252">
        <f t="shared" ref="C332:C337" si="90">+C303</f>
        <v>2013</v>
      </c>
      <c r="D332" s="480"/>
      <c r="E332" s="480"/>
      <c r="F332" s="480"/>
      <c r="G332" s="480"/>
      <c r="H332" s="480"/>
      <c r="I332" s="376">
        <v>1.0442279981575104</v>
      </c>
    </row>
    <row r="333" spans="1:12" s="466" customFormat="1" ht="12.75">
      <c r="C333" s="252">
        <f t="shared" si="90"/>
        <v>2014</v>
      </c>
      <c r="D333" s="480"/>
      <c r="E333" s="480"/>
      <c r="F333" s="480"/>
      <c r="G333" s="480"/>
      <c r="H333" s="376">
        <v>1.0695742496156644</v>
      </c>
      <c r="I333" s="376">
        <v>1.0406852412057932</v>
      </c>
    </row>
    <row r="334" spans="1:12" s="466" customFormat="1" ht="12.75">
      <c r="C334" s="252">
        <f t="shared" si="90"/>
        <v>2015</v>
      </c>
      <c r="D334" s="480"/>
      <c r="E334" s="480"/>
      <c r="F334" s="480"/>
      <c r="G334" s="376">
        <v>1.1127984845529297</v>
      </c>
      <c r="H334" s="376">
        <v>1.0619395033284356</v>
      </c>
      <c r="I334" s="376">
        <v>1.0422236654029269</v>
      </c>
    </row>
    <row r="335" spans="1:12" s="466" customFormat="1" ht="12.75">
      <c r="C335" s="252">
        <f t="shared" si="90"/>
        <v>2016</v>
      </c>
      <c r="D335" s="480"/>
      <c r="E335" s="480"/>
      <c r="F335" s="376">
        <v>1.2086486100901417</v>
      </c>
      <c r="G335" s="376">
        <v>1.1075708255454115</v>
      </c>
      <c r="H335" s="376">
        <v>1.0627086124490788</v>
      </c>
      <c r="I335" s="480"/>
    </row>
    <row r="336" spans="1:12" s="466" customFormat="1" ht="12.75">
      <c r="C336" s="252">
        <f t="shared" si="90"/>
        <v>2017</v>
      </c>
      <c r="D336" s="480"/>
      <c r="E336" s="376">
        <v>1.3940169149302089</v>
      </c>
      <c r="F336" s="376">
        <v>1.1998513096313479</v>
      </c>
      <c r="G336" s="376">
        <v>1.1087317170294702</v>
      </c>
      <c r="H336" s="480"/>
      <c r="I336" s="480"/>
    </row>
    <row r="337" spans="1:11" s="466" customFormat="1" ht="12.75">
      <c r="C337" s="252">
        <f t="shared" si="90"/>
        <v>2018</v>
      </c>
      <c r="D337" s="376">
        <v>2.3425466019516379</v>
      </c>
      <c r="E337" s="376">
        <v>1.3895398921239253</v>
      </c>
      <c r="F337" s="376">
        <v>1.2126895043316863</v>
      </c>
      <c r="G337" s="480"/>
      <c r="H337" s="480"/>
      <c r="I337" s="480"/>
    </row>
    <row r="338" spans="1:11" s="466" customFormat="1" ht="12.75">
      <c r="C338" s="252">
        <f>+C309</f>
        <v>2019</v>
      </c>
      <c r="D338" s="376">
        <v>2.3447977206338098</v>
      </c>
      <c r="E338" s="376">
        <v>1.4287048498975898</v>
      </c>
      <c r="F338" s="480"/>
      <c r="G338" s="480"/>
      <c r="H338" s="480"/>
      <c r="I338" s="480"/>
    </row>
    <row r="339" spans="1:11" s="466" customFormat="1" ht="12.75">
      <c r="C339" s="252">
        <f>+C310</f>
        <v>2020</v>
      </c>
      <c r="D339" s="376">
        <v>2.4640716121882869</v>
      </c>
      <c r="E339" s="375"/>
      <c r="F339" s="480"/>
      <c r="G339" s="480"/>
      <c r="H339" s="480"/>
      <c r="I339" s="480"/>
    </row>
    <row r="340" spans="1:11" s="466" customFormat="1" ht="12.75">
      <c r="C340" s="252"/>
      <c r="E340" s="478"/>
    </row>
    <row r="341" spans="1:11" s="466" customFormat="1" ht="12.75">
      <c r="C341" s="44" t="s">
        <v>251</v>
      </c>
      <c r="D341" s="144">
        <f>D339</f>
        <v>2.4640716121882869</v>
      </c>
      <c r="E341" s="144">
        <f>E338</f>
        <v>1.4287048498975898</v>
      </c>
      <c r="F341" s="144">
        <f>F337</f>
        <v>1.2126895043316863</v>
      </c>
      <c r="G341" s="144">
        <f>G336</f>
        <v>1.1087317170294702</v>
      </c>
      <c r="H341" s="144">
        <f>H335</f>
        <v>1.0627086124490788</v>
      </c>
      <c r="I341" s="144">
        <f>I334</f>
        <v>1.0422236654029269</v>
      </c>
    </row>
    <row r="342" spans="1:11" s="466" customFormat="1" ht="12.75">
      <c r="C342" s="466" t="s">
        <v>483</v>
      </c>
      <c r="D342" s="144">
        <f>AVERAGE(D338:D339)</f>
        <v>2.4044346664110483</v>
      </c>
      <c r="E342" s="144">
        <f>AVERAGE(E337:E338)</f>
        <v>1.4091223710107577</v>
      </c>
      <c r="F342" s="144">
        <f>AVERAGE(F336:F337)</f>
        <v>1.2062704069815171</v>
      </c>
      <c r="G342" s="144">
        <f>AVERAGE(G335:G336)</f>
        <v>1.1081512712874408</v>
      </c>
      <c r="H342" s="144">
        <f>AVERAGE(H334:H335)</f>
        <v>1.0623240578887572</v>
      </c>
      <c r="I342" s="144">
        <f>AVERAGE(I333:I334)</f>
        <v>1.0414544533043602</v>
      </c>
    </row>
    <row r="343" spans="1:11" s="466" customFormat="1" ht="12.75">
      <c r="C343" s="466" t="s">
        <v>266</v>
      </c>
      <c r="D343" s="144">
        <f>AVERAGE(D337:D339)</f>
        <v>2.3838053115912445</v>
      </c>
      <c r="E343" s="144">
        <f>AVERAGE(E336:E338)</f>
        <v>1.404087218983908</v>
      </c>
      <c r="F343" s="144">
        <f>AVERAGE(F335:F337)</f>
        <v>1.2070631413510586</v>
      </c>
      <c r="G343" s="144">
        <f>AVERAGE(G334:G336)</f>
        <v>1.1097003423759373</v>
      </c>
      <c r="H343" s="144">
        <f>AVERAGE(H333:H335)</f>
        <v>1.0647407884643929</v>
      </c>
      <c r="I343" s="144">
        <f>AVERAGE(I332:I334)</f>
        <v>1.0423789682554101</v>
      </c>
    </row>
    <row r="344" spans="1:11" s="466" customFormat="1" ht="12.75">
      <c r="D344" s="479"/>
      <c r="E344" s="479"/>
      <c r="F344" s="479"/>
      <c r="G344" s="479"/>
      <c r="H344" s="479"/>
      <c r="I344" s="479"/>
    </row>
    <row r="345" spans="1:11" s="466" customFormat="1" ht="24.95" customHeight="1">
      <c r="A345" s="143" t="s">
        <v>98</v>
      </c>
      <c r="B345" s="521" t="s">
        <v>282</v>
      </c>
      <c r="C345" s="521"/>
      <c r="D345" s="521"/>
      <c r="E345" s="521"/>
      <c r="F345" s="521"/>
      <c r="G345" s="521"/>
      <c r="H345" s="521"/>
      <c r="I345" s="521"/>
      <c r="J345" s="521"/>
      <c r="K345" s="521"/>
    </row>
    <row r="346" spans="1:11" s="466" customFormat="1" ht="12.75" customHeight="1">
      <c r="A346" s="143" t="s">
        <v>269</v>
      </c>
      <c r="B346" s="521" t="s">
        <v>283</v>
      </c>
      <c r="C346" s="521"/>
      <c r="D346" s="521"/>
      <c r="E346" s="521"/>
      <c r="F346" s="521"/>
      <c r="G346" s="521"/>
      <c r="H346" s="521"/>
      <c r="I346" s="521"/>
      <c r="J346" s="521"/>
      <c r="K346" s="521"/>
    </row>
    <row r="347" spans="1:11" s="466" customFormat="1" ht="28.5" customHeight="1">
      <c r="A347" s="143" t="s">
        <v>271</v>
      </c>
      <c r="B347" s="521" t="s">
        <v>289</v>
      </c>
      <c r="C347" s="521"/>
      <c r="D347" s="521"/>
      <c r="E347" s="521"/>
      <c r="F347" s="521"/>
      <c r="G347" s="521"/>
      <c r="H347" s="521"/>
      <c r="I347" s="521"/>
      <c r="J347" s="521"/>
      <c r="K347" s="521"/>
    </row>
    <row r="348" spans="1:11" s="466" customFormat="1" ht="12.75">
      <c r="D348" s="479"/>
      <c r="E348" s="479"/>
      <c r="F348" s="479"/>
      <c r="G348" s="479"/>
      <c r="H348" s="479"/>
      <c r="I348" s="479"/>
    </row>
    <row r="349" spans="1:11" s="466" customFormat="1" ht="12.75">
      <c r="B349" s="466" t="s">
        <v>484</v>
      </c>
      <c r="C349" s="252"/>
      <c r="D349" s="26"/>
      <c r="E349" s="26"/>
      <c r="F349" s="26"/>
      <c r="G349" s="26"/>
      <c r="H349" s="26"/>
      <c r="I349" s="26"/>
    </row>
  </sheetData>
  <mergeCells count="30">
    <mergeCell ref="B347:K347"/>
    <mergeCell ref="B231:K231"/>
    <mergeCell ref="B232:K232"/>
    <mergeCell ref="D243:J243"/>
    <mergeCell ref="D259:J259"/>
    <mergeCell ref="D275:I275"/>
    <mergeCell ref="B289:K289"/>
    <mergeCell ref="D300:I300"/>
    <mergeCell ref="D314:I314"/>
    <mergeCell ref="D329:I329"/>
    <mergeCell ref="B345:K345"/>
    <mergeCell ref="B346:K346"/>
    <mergeCell ref="B230:K230"/>
    <mergeCell ref="B114:K114"/>
    <mergeCell ref="B115:K115"/>
    <mergeCell ref="D126:J126"/>
    <mergeCell ref="D142:J142"/>
    <mergeCell ref="D158:J158"/>
    <mergeCell ref="B172:K172"/>
    <mergeCell ref="B173:K173"/>
    <mergeCell ref="B174:J174"/>
    <mergeCell ref="D184:J184"/>
    <mergeCell ref="D201:J201"/>
    <mergeCell ref="D216:J216"/>
    <mergeCell ref="D100:J100"/>
    <mergeCell ref="D8:J8"/>
    <mergeCell ref="D24:J24"/>
    <mergeCell ref="D45:J45"/>
    <mergeCell ref="D68:J68"/>
    <mergeCell ref="D84:J84"/>
  </mergeCells>
  <printOptions horizontalCentered="1"/>
  <pageMargins left="0.25" right="0.25" top="0.33" bottom="0.5" header="0.3" footer="0.3"/>
  <pageSetup scale="81" orientation="portrait" blackAndWhite="1" r:id="rId1"/>
  <headerFooter scaleWithDoc="0"/>
  <rowBreaks count="5" manualBreakCount="5">
    <brk id="59" max="16383" man="1"/>
    <brk id="117" max="10" man="1"/>
    <brk id="175" max="16383" man="1"/>
    <brk id="234" max="16383" man="1"/>
    <brk id="29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G47"/>
  <sheetViews>
    <sheetView zoomScaleNormal="100" workbookViewId="0"/>
  </sheetViews>
  <sheetFormatPr defaultColWidth="9.140625" defaultRowHeight="12.75"/>
  <cols>
    <col min="1" max="1" width="8.5703125" style="108" customWidth="1"/>
    <col min="2" max="2" width="11.7109375" style="108" customWidth="1"/>
    <col min="3" max="3" width="12" style="108" customWidth="1"/>
    <col min="4" max="5" width="11.7109375" style="108" customWidth="1"/>
    <col min="6" max="6" width="11.85546875" style="108" customWidth="1"/>
    <col min="7" max="7" width="8.5703125" style="108" customWidth="1"/>
    <col min="8" max="16384" width="9.140625" style="108"/>
  </cols>
  <sheetData>
    <row r="1" spans="1:7">
      <c r="A1" s="213" t="s">
        <v>43</v>
      </c>
      <c r="B1" s="213"/>
      <c r="C1" s="213"/>
      <c r="D1" s="213"/>
      <c r="E1" s="213"/>
      <c r="F1" s="213"/>
      <c r="G1" s="213"/>
    </row>
    <row r="2" spans="1:7">
      <c r="A2" s="213" t="s">
        <v>293</v>
      </c>
      <c r="B2" s="241"/>
      <c r="C2" s="213"/>
      <c r="D2" s="213"/>
      <c r="E2" s="213"/>
      <c r="F2" s="213"/>
      <c r="G2" s="326"/>
    </row>
    <row r="3" spans="1:7">
      <c r="A3" s="213" t="s">
        <v>491</v>
      </c>
      <c r="B3" s="241"/>
      <c r="C3" s="213"/>
      <c r="D3" s="213"/>
      <c r="E3" s="213"/>
      <c r="F3" s="213"/>
      <c r="G3" s="326"/>
    </row>
    <row r="4" spans="1:7">
      <c r="A4" s="110"/>
      <c r="B4" s="39"/>
      <c r="C4" s="38"/>
      <c r="D4" s="38"/>
      <c r="E4" s="38"/>
      <c r="F4" s="38"/>
      <c r="G4" s="110"/>
    </row>
    <row r="5" spans="1:7">
      <c r="A5" s="110"/>
      <c r="B5" s="39"/>
      <c r="C5" s="39"/>
      <c r="D5" s="528" t="s">
        <v>44</v>
      </c>
      <c r="E5" s="528"/>
      <c r="F5" s="39"/>
      <c r="G5" s="110"/>
    </row>
    <row r="6" spans="1:7">
      <c r="A6" s="110"/>
      <c r="B6" s="41"/>
      <c r="C6" s="41"/>
      <c r="D6" s="41"/>
      <c r="E6" s="360"/>
      <c r="F6" s="41"/>
      <c r="G6" s="110"/>
    </row>
    <row r="7" spans="1:7">
      <c r="A7" s="110"/>
      <c r="B7" s="41"/>
      <c r="C7" s="40" t="s">
        <v>45</v>
      </c>
      <c r="D7" s="40" t="s">
        <v>46</v>
      </c>
      <c r="E7" s="40" t="s">
        <v>47</v>
      </c>
      <c r="F7" s="40" t="s">
        <v>48</v>
      </c>
      <c r="G7" s="110"/>
    </row>
    <row r="8" spans="1:7" ht="38.25" customHeight="1">
      <c r="A8" s="110"/>
      <c r="B8" s="327" t="s">
        <v>334</v>
      </c>
      <c r="C8" s="327" t="s">
        <v>370</v>
      </c>
      <c r="D8" s="41" t="s">
        <v>354</v>
      </c>
      <c r="E8" s="328" t="s">
        <v>21</v>
      </c>
      <c r="F8" s="327" t="s">
        <v>326</v>
      </c>
      <c r="G8" s="110"/>
    </row>
    <row r="9" spans="1:7">
      <c r="A9" s="110"/>
      <c r="B9" s="28"/>
      <c r="C9" s="32"/>
      <c r="D9" s="329"/>
      <c r="E9" s="29"/>
      <c r="F9" s="40" t="s">
        <v>327</v>
      </c>
      <c r="G9" s="110"/>
    </row>
    <row r="10" spans="1:7">
      <c r="A10" s="110"/>
      <c r="B10" s="28">
        <v>1987</v>
      </c>
      <c r="C10" s="32">
        <f>'Exhibit 1'!$C6/'Exhibit 1'!$B6</f>
        <v>0.34479477277536219</v>
      </c>
      <c r="D10" s="253">
        <f>INDEX('Exhibit 2.5.2'!$B$25:$X$25,COUNT($B10:$B$23))</f>
        <v>1.000279985700278</v>
      </c>
      <c r="E10" s="270">
        <f>INDEX('Exhibit 2.5.2'!$B$26:$X$26,COUNT($B10:$B$23))</f>
        <v>1.0067147375767722</v>
      </c>
      <c r="F10" s="32">
        <f t="shared" ref="F10:F40" si="0">C10*E10</f>
        <v>0.34710997919239156</v>
      </c>
      <c r="G10" s="127"/>
    </row>
    <row r="11" spans="1:7">
      <c r="A11" s="110"/>
      <c r="B11" s="28">
        <f t="shared" ref="B11:B44" si="1">+B10+1</f>
        <v>1988</v>
      </c>
      <c r="C11" s="32">
        <f>'Exhibit 1'!$C7/'Exhibit 1'!$B7</f>
        <v>0.32970795468345887</v>
      </c>
      <c r="D11" s="253">
        <f>INDEX('Exhibit 2.5.2'!$B$25:$X$25,COUNT($B11:$B$23))</f>
        <v>1.000279985700278</v>
      </c>
      <c r="E11" s="270">
        <f>INDEX('Exhibit 2.5.2'!$B$26:$X$26,COUNT($B11:$B$23))</f>
        <v>1.0069966033075528</v>
      </c>
      <c r="F11" s="32">
        <f t="shared" si="0"/>
        <v>0.33201479044972365</v>
      </c>
      <c r="G11" s="127"/>
    </row>
    <row r="12" spans="1:7">
      <c r="A12" s="110"/>
      <c r="B12" s="28">
        <f t="shared" si="1"/>
        <v>1989</v>
      </c>
      <c r="C12" s="32">
        <f>'Exhibit 1'!$C8/'Exhibit 1'!$B8</f>
        <v>0.34224471286157188</v>
      </c>
      <c r="D12" s="253">
        <f>INDEX('Exhibit 2.5.2'!$B$25:$X$25,COUNT($B12:$B$23))</f>
        <v>1.000839957100834</v>
      </c>
      <c r="E12" s="270">
        <f>INDEX('Exhibit 2.5.2'!$B$26:$X$26,COUNT($B12:$B$23))</f>
        <v>1.0078424372550168</v>
      </c>
      <c r="F12" s="32">
        <f t="shared" si="0"/>
        <v>0.34492874554804998</v>
      </c>
      <c r="G12" s="127"/>
    </row>
    <row r="13" spans="1:7">
      <c r="A13" s="110"/>
      <c r="B13" s="28">
        <f t="shared" si="1"/>
        <v>1990</v>
      </c>
      <c r="C13" s="32">
        <f>'Exhibit 1'!$C9/'Exhibit 1'!$B9</f>
        <v>0.39680741312515017</v>
      </c>
      <c r="D13" s="253">
        <f>INDEX('Exhibit 2.5.2'!$B$25:$X$25,COUNT($B13:$B$23))</f>
        <v>1.0006666666666666</v>
      </c>
      <c r="E13" s="270">
        <f>INDEX('Exhibit 2.5.2'!$B$26:$X$26,COUNT($B13:$B$23))</f>
        <v>1.0085143322131866</v>
      </c>
      <c r="F13" s="32">
        <f t="shared" si="0"/>
        <v>0.40018596326515288</v>
      </c>
      <c r="G13" s="127"/>
    </row>
    <row r="14" spans="1:7">
      <c r="A14" s="110"/>
      <c r="B14" s="28">
        <f t="shared" si="1"/>
        <v>1991</v>
      </c>
      <c r="C14" s="32">
        <f>'Exhibit 1'!$C10/'Exhibit 1'!$B10</f>
        <v>0.42352455469376699</v>
      </c>
      <c r="D14" s="253">
        <f>INDEX('Exhibit 2.5.2'!$B$25:$X$25,COUNT($B14:$B$23))</f>
        <v>1.0005579114026812</v>
      </c>
      <c r="E14" s="270">
        <f>INDEX('Exhibit 2.5.2'!$B$26:$X$26,COUNT($B14:$B$23))</f>
        <v>1.0090769938588959</v>
      </c>
      <c r="F14" s="32">
        <f t="shared" si="0"/>
        <v>0.42736888447581395</v>
      </c>
      <c r="G14" s="127"/>
    </row>
    <row r="15" spans="1:7">
      <c r="A15" s="110"/>
      <c r="B15" s="28">
        <f t="shared" si="1"/>
        <v>1992</v>
      </c>
      <c r="C15" s="32">
        <f>'Exhibit 1'!$C11/'Exhibit 1'!$B11</f>
        <v>0.34860922112504922</v>
      </c>
      <c r="D15" s="253">
        <f>INDEX('Exhibit 2.5.2'!$B$25:$X$25,COUNT($B15:$B$23))</f>
        <v>1.0008187898392504</v>
      </c>
      <c r="E15" s="270">
        <f>INDEX('Exhibit 2.5.2'!$B$26:$X$26,COUNT($B15:$B$23))</f>
        <v>1.0099032158484891</v>
      </c>
      <c r="F15" s="32">
        <f t="shared" si="0"/>
        <v>0.35206157348862421</v>
      </c>
      <c r="G15" s="127"/>
    </row>
    <row r="16" spans="1:7">
      <c r="A16" s="110"/>
      <c r="B16" s="28">
        <f t="shared" si="1"/>
        <v>1993</v>
      </c>
      <c r="C16" s="32">
        <f>'Exhibit 1'!$C12/'Exhibit 1'!$B12</f>
        <v>0.28599390606373432</v>
      </c>
      <c r="D16" s="253">
        <f>INDEX('Exhibit 2.5.2'!$B$25:$X$25,COUNT($B16:$B$23))</f>
        <v>1.0007981268233945</v>
      </c>
      <c r="E16" s="270">
        <f>INDEX('Exhibit 2.5.2'!$B$26:$X$26,COUNT($B16:$B$23))</f>
        <v>1.0107092466940901</v>
      </c>
      <c r="F16" s="32">
        <f t="shared" si="0"/>
        <v>0.28905668535677731</v>
      </c>
      <c r="G16" s="127"/>
    </row>
    <row r="17" spans="1:7">
      <c r="A17" s="110"/>
      <c r="B17" s="28">
        <f t="shared" si="1"/>
        <v>1994</v>
      </c>
      <c r="C17" s="32">
        <f>'Exhibit 1'!$C13/'Exhibit 1'!$B13</f>
        <v>0.32469263186640462</v>
      </c>
      <c r="D17" s="253">
        <f>INDEX('Exhibit 2.5.2'!$B$25:$X$25,COUNT($B17:$B$23))</f>
        <v>1.0007714882689014</v>
      </c>
      <c r="E17" s="270">
        <f>INDEX('Exhibit 2.5.2'!$B$26:$X$26,COUNT($B17:$B$23))</f>
        <v>1.0114889970211847</v>
      </c>
      <c r="F17" s="32">
        <f t="shared" si="0"/>
        <v>0.32842302454671835</v>
      </c>
      <c r="G17" s="127"/>
    </row>
    <row r="18" spans="1:7">
      <c r="A18" s="110"/>
      <c r="B18" s="28">
        <f t="shared" si="1"/>
        <v>1995</v>
      </c>
      <c r="C18" s="32">
        <f>'Exhibit 1'!$C14/'Exhibit 1'!$B14</f>
        <v>0.46742727174397236</v>
      </c>
      <c r="D18" s="253">
        <f>INDEX('Exhibit 2.5.2'!$B$25:$X$25,COUNT($B18:$B$23))</f>
        <v>1.0010065834614166</v>
      </c>
      <c r="E18" s="270">
        <f>INDEX('Exhibit 2.5.2'!$B$26:$X$26,COUNT($B18:$B$23))</f>
        <v>1.0125071451169911</v>
      </c>
      <c r="F18" s="32">
        <f t="shared" si="0"/>
        <v>0.47327345246331348</v>
      </c>
      <c r="G18" s="127"/>
    </row>
    <row r="19" spans="1:7">
      <c r="A19" s="110"/>
      <c r="B19" s="28">
        <f t="shared" si="1"/>
        <v>1996</v>
      </c>
      <c r="C19" s="32">
        <f>'Exhibit 1'!$C15/'Exhibit 1'!$B15</f>
        <v>0.52452506132139309</v>
      </c>
      <c r="D19" s="253">
        <f>INDEX('Exhibit 2.5.2'!$B$25:$X$25,COUNT($B19:$B$23))</f>
        <v>1.0009894907189809</v>
      </c>
      <c r="E19" s="270">
        <f>INDEX('Exhibit 2.5.2'!$B$26:$X$26,COUNT($B19:$B$23))</f>
        <v>1.0135090115399863</v>
      </c>
      <c r="F19" s="32">
        <f t="shared" si="0"/>
        <v>0.53161087642779581</v>
      </c>
      <c r="G19" s="127"/>
    </row>
    <row r="20" spans="1:7">
      <c r="A20" s="110"/>
      <c r="B20" s="28">
        <f t="shared" si="1"/>
        <v>1997</v>
      </c>
      <c r="C20" s="32">
        <f>'Exhibit 1'!$C16/'Exhibit 1'!$B16</f>
        <v>0.59362255171320688</v>
      </c>
      <c r="D20" s="253">
        <f>INDEX('Exhibit 2.5.2'!$B$25:$X$25,COUNT($B20:$B$23))</f>
        <v>1.0012252954490231</v>
      </c>
      <c r="E20" s="270">
        <f>INDEX('Exhibit 2.5.2'!$B$26:$X$26,COUNT($B20:$B$23))</f>
        <v>1.0147508595193702</v>
      </c>
      <c r="F20" s="32">
        <f t="shared" si="0"/>
        <v>0.60237899458105848</v>
      </c>
      <c r="G20" s="127"/>
    </row>
    <row r="21" spans="1:7">
      <c r="A21" s="110"/>
      <c r="B21" s="28">
        <f t="shared" si="1"/>
        <v>1998</v>
      </c>
      <c r="C21" s="32">
        <f>'Exhibit 1'!$C17/'Exhibit 1'!$B17</f>
        <v>0.64366378019744841</v>
      </c>
      <c r="D21" s="253">
        <f>INDEX('Exhibit 2.5.2'!$B$25:$X$25,COUNT($B21:$B$23))</f>
        <v>1.0017082140962057</v>
      </c>
      <c r="E21" s="270">
        <f>INDEX('Exhibit 2.5.2'!$B$26:$X$26,COUNT($B21:$B$23))</f>
        <v>1.0164842712417379</v>
      </c>
      <c r="F21" s="32">
        <f t="shared" si="0"/>
        <v>0.65427410853870549</v>
      </c>
      <c r="G21" s="127"/>
    </row>
    <row r="22" spans="1:7">
      <c r="A22" s="110"/>
      <c r="B22" s="28">
        <f t="shared" si="1"/>
        <v>1999</v>
      </c>
      <c r="C22" s="32">
        <f>'Exhibit 1'!$C18/'Exhibit 1'!$B18</f>
        <v>0.67450583942484232</v>
      </c>
      <c r="D22" s="253">
        <f>INDEX('Exhibit 2.5.2'!$B$25:$X$25,COUNT($B22:$B$23))</f>
        <v>1.0026666666666666</v>
      </c>
      <c r="E22" s="270">
        <f>INDEX('Exhibit 2.5.2'!$B$26:$X$26,COUNT($B22:$B$23))</f>
        <v>1.0191948959650492</v>
      </c>
      <c r="F22" s="32">
        <f t="shared" ref="F22" si="2">C22*E22</f>
        <v>0.68745290884042032</v>
      </c>
      <c r="G22" s="127"/>
    </row>
    <row r="23" spans="1:7">
      <c r="A23" s="110"/>
      <c r="B23" s="28">
        <f t="shared" si="1"/>
        <v>2000</v>
      </c>
      <c r="C23" s="32">
        <f>'Exhibit 1'!$C19/'Exhibit 1'!$B19</f>
        <v>0.58188696847256904</v>
      </c>
      <c r="D23" s="253">
        <f>INDEX('Exhibit 2.5.2'!$B$25:$X$25,COUNT($B$23:$B23))</f>
        <v>1.0026666666666666</v>
      </c>
      <c r="E23" s="270">
        <f>INDEX('Exhibit 2.5.2'!$B$26:$X$26,COUNT($B$23:$B23))</f>
        <v>1.0219127490209559</v>
      </c>
      <c r="F23" s="32">
        <f t="shared" si="0"/>
        <v>0.59463771157127332</v>
      </c>
      <c r="G23" s="127"/>
    </row>
    <row r="24" spans="1:7">
      <c r="A24" s="110"/>
      <c r="B24" s="28">
        <f t="shared" si="1"/>
        <v>2001</v>
      </c>
      <c r="C24" s="32">
        <f>'Exhibit 1'!$C20/'Exhibit 1'!$B20</f>
        <v>0.48177770721449376</v>
      </c>
      <c r="D24" s="29">
        <f ca="1">INDEX('Exhibit 2.5.1'!$B$32:$V$32,COUNT($B24:$B$44))</f>
        <v>1.0023333333333333</v>
      </c>
      <c r="E24" s="29">
        <f ca="1">INDEX('Exhibit 2.5.1'!$B$33:$V$33,COUNT($B24:$B$44))</f>
        <v>1.0242972121020046</v>
      </c>
      <c r="F24" s="29">
        <f t="shared" ca="1" si="0"/>
        <v>0.4934835623527018</v>
      </c>
      <c r="G24" s="127"/>
    </row>
    <row r="25" spans="1:7">
      <c r="A25" s="110"/>
      <c r="B25" s="28">
        <f t="shared" si="1"/>
        <v>2002</v>
      </c>
      <c r="C25" s="32">
        <f>'Exhibit 1'!$C21/'Exhibit 1'!$B21</f>
        <v>0.35764740941089374</v>
      </c>
      <c r="D25" s="29">
        <f ca="1">INDEX('Exhibit 2.5.1'!$B$32:$V$32,COUNT($B25:$B$44))</f>
        <v>1.0026666666666666</v>
      </c>
      <c r="E25" s="29">
        <f ca="1">INDEX('Exhibit 2.5.1'!$B$33:$V$33,COUNT($B25:$B$44))</f>
        <v>1.0270286713342767</v>
      </c>
      <c r="F25" s="29">
        <f t="shared" ca="1" si="0"/>
        <v>0.36731414369341625</v>
      </c>
      <c r="G25" s="127"/>
    </row>
    <row r="26" spans="1:7">
      <c r="A26" s="110"/>
      <c r="B26" s="28">
        <f t="shared" si="1"/>
        <v>2003</v>
      </c>
      <c r="C26" s="32">
        <f>'Exhibit 1'!$C22/'Exhibit 1'!$B22</f>
        <v>0.23623962710303936</v>
      </c>
      <c r="D26" s="29">
        <f ca="1">INDEX('Exhibit 2.5.1'!$B$32:$V$32,COUNT($B26:$B$44))</f>
        <v>1.0033333333333332</v>
      </c>
      <c r="E26" s="29">
        <f ca="1">INDEX('Exhibit 2.5.1'!$B$33:$V$33,COUNT($B26:$B$44))</f>
        <v>1.0304521002387241</v>
      </c>
      <c r="F26" s="29">
        <f t="shared" ca="1" si="0"/>
        <v>0.24343361990793994</v>
      </c>
      <c r="G26" s="127"/>
    </row>
    <row r="27" spans="1:7">
      <c r="A27" s="110"/>
      <c r="B27" s="28">
        <f t="shared" si="1"/>
        <v>2004</v>
      </c>
      <c r="C27" s="32">
        <f>'Exhibit 1'!$C23/'Exhibit 1'!$B23</f>
        <v>0.14046955653290061</v>
      </c>
      <c r="D27" s="29">
        <f ca="1">INDEX('Exhibit 2.5.1'!$B$32:$V$32,COUNT($B27:$B$44))</f>
        <v>1.0046666666666666</v>
      </c>
      <c r="E27" s="29">
        <f ca="1">INDEX('Exhibit 2.5.1'!$B$33:$V$33,COUNT($B27:$B$44))</f>
        <v>1.0352608767065048</v>
      </c>
      <c r="F27" s="29">
        <f t="shared" ca="1" si="0"/>
        <v>0.14542263624682461</v>
      </c>
      <c r="G27" s="127"/>
    </row>
    <row r="28" spans="1:7">
      <c r="A28" s="110"/>
      <c r="B28" s="28">
        <f t="shared" si="1"/>
        <v>2005</v>
      </c>
      <c r="C28" s="32">
        <f>'Exhibit 1'!$C24/'Exhibit 1'!$B24</f>
        <v>0.11996834018404845</v>
      </c>
      <c r="D28" s="29">
        <f ca="1">INDEX('Exhibit 2.5.1'!$B$32:$V$32,COUNT($B28:$B$44))</f>
        <v>1.0050000000000001</v>
      </c>
      <c r="E28" s="29">
        <f ca="1">INDEX('Exhibit 2.5.1'!$B$33:$V$33,COUNT($B28:$B$44))</f>
        <v>1.0404371810900375</v>
      </c>
      <c r="F28" s="29">
        <f t="shared" ca="1" si="0"/>
        <v>0.12481952168114203</v>
      </c>
      <c r="G28" s="127"/>
    </row>
    <row r="29" spans="1:7">
      <c r="A29" s="110"/>
      <c r="B29" s="28">
        <f t="shared" si="1"/>
        <v>2006</v>
      </c>
      <c r="C29" s="32">
        <f>'Exhibit 1'!$C25/'Exhibit 1'!$B25</f>
        <v>0.15418027836361842</v>
      </c>
      <c r="D29" s="29">
        <f ca="1">INDEX('Exhibit 2.5.1'!$B$32:$V$32,COUNT($B29:$B$44))</f>
        <v>1.006</v>
      </c>
      <c r="E29" s="29">
        <f ca="1">INDEX('Exhibit 2.5.1'!$B$33:$V$33,COUNT($B29:$B$44))</f>
        <v>1.0466798041765777</v>
      </c>
      <c r="F29" s="29">
        <f t="shared" ca="1" si="0"/>
        <v>0.16137738356552236</v>
      </c>
      <c r="G29" s="127"/>
    </row>
    <row r="30" spans="1:7">
      <c r="A30" s="110"/>
      <c r="B30" s="28">
        <f t="shared" si="1"/>
        <v>2007</v>
      </c>
      <c r="C30" s="32">
        <f>'Exhibit 1'!$C26/'Exhibit 1'!$B26</f>
        <v>0.21159056873375501</v>
      </c>
      <c r="D30" s="29">
        <f ca="1">INDEX('Exhibit 2.5.1'!$B$32:$V$32,COUNT($B30:$B$44))</f>
        <v>1.0086666666666666</v>
      </c>
      <c r="E30" s="29">
        <f ca="1">INDEX('Exhibit 2.5.1'!$B$33:$V$33,COUNT($B30:$B$44))</f>
        <v>1.0557510291461079</v>
      </c>
      <c r="F30" s="29">
        <f t="shared" ca="1" si="0"/>
        <v>0.22338696069827213</v>
      </c>
      <c r="G30" s="127"/>
    </row>
    <row r="31" spans="1:7">
      <c r="A31" s="110"/>
      <c r="B31" s="28">
        <f t="shared" si="1"/>
        <v>2008</v>
      </c>
      <c r="C31" s="32">
        <f>'Exhibit 1'!$C27/'Exhibit 1'!$B27</f>
        <v>0.26533148195322698</v>
      </c>
      <c r="D31" s="29">
        <f ca="1">INDEX('Exhibit 2.5.1'!$B$32:$V$32,COUNT($B31:$B$44))</f>
        <v>1.0086666666666666</v>
      </c>
      <c r="E31" s="29">
        <f ca="1">INDEX('Exhibit 2.5.1'!$B$33:$V$33,COUNT($B31:$B$44))</f>
        <v>1.0649008713987074</v>
      </c>
      <c r="F31" s="29">
        <f t="shared" ca="1" si="0"/>
        <v>0.28255172634150183</v>
      </c>
      <c r="G31" s="127"/>
    </row>
    <row r="32" spans="1:7">
      <c r="A32" s="110"/>
      <c r="B32" s="28">
        <f t="shared" si="1"/>
        <v>2009</v>
      </c>
      <c r="C32" s="32">
        <f>'Exhibit 1'!$C28/'Exhibit 1'!$B28</f>
        <v>0.30773927820568414</v>
      </c>
      <c r="D32" s="29">
        <f ca="1">INDEX('Exhibit 2.5.1'!$B$32:$V$32,COUNT($B32:$B$44))</f>
        <v>1.0109999999999999</v>
      </c>
      <c r="E32" s="29">
        <f ca="1">INDEX('Exhibit 2.5.1'!$B$33:$V$33,COUNT($B32:$B$44))</f>
        <v>1.0766147809840931</v>
      </c>
      <c r="F32" s="29">
        <f t="shared" ca="1" si="0"/>
        <v>0.33131665560561552</v>
      </c>
      <c r="G32" s="127"/>
    </row>
    <row r="33" spans="1:7">
      <c r="A33" s="110"/>
      <c r="B33" s="28">
        <f t="shared" si="1"/>
        <v>2010</v>
      </c>
      <c r="C33" s="32">
        <f>'Exhibit 1'!$C29/'Exhibit 1'!$B29</f>
        <v>0.29326837191790722</v>
      </c>
      <c r="D33" s="29">
        <f ca="1">INDEX('Exhibit 2.5.1'!$B$32:$V$32,COUNT($B33:$B$44))</f>
        <v>1.0119999999999998</v>
      </c>
      <c r="E33" s="29">
        <f ca="1">INDEX('Exhibit 2.5.1'!$B$33:$V$33,COUNT($B33:$B$44))</f>
        <v>1.0895341583559019</v>
      </c>
      <c r="F33" s="29">
        <f t="shared" ca="1" si="0"/>
        <v>0.31952590876998266</v>
      </c>
      <c r="G33" s="127"/>
    </row>
    <row r="34" spans="1:7">
      <c r="A34" s="110"/>
      <c r="B34" s="28">
        <f t="shared" si="1"/>
        <v>2011</v>
      </c>
      <c r="C34" s="32">
        <f>'Exhibit 1'!$C30/'Exhibit 1'!$B30</f>
        <v>0.27013968911519398</v>
      </c>
      <c r="D34" s="29">
        <f ca="1">INDEX('Exhibit 2.5.1'!$B$32:$V$32,COUNT($B34:$B$44))</f>
        <v>1.0126666666666666</v>
      </c>
      <c r="E34" s="29">
        <f ca="1">INDEX('Exhibit 2.5.1'!$B$33:$V$33,COUNT($B34:$B$44))</f>
        <v>1.1033349243617434</v>
      </c>
      <c r="F34" s="29">
        <f t="shared" ca="1" si="0"/>
        <v>0.29805455345701742</v>
      </c>
      <c r="G34" s="110"/>
    </row>
    <row r="35" spans="1:7">
      <c r="A35" s="110"/>
      <c r="B35" s="28">
        <f t="shared" si="1"/>
        <v>2012</v>
      </c>
      <c r="C35" s="32">
        <f>'Exhibit 1'!$C31/'Exhibit 1'!$B31</f>
        <v>0.23790707069844103</v>
      </c>
      <c r="D35" s="29">
        <f ca="1">INDEX('Exhibit 2.5.1'!$B$32:$V$32,COUNT($B35:$B$44))</f>
        <v>1.016</v>
      </c>
      <c r="E35" s="29">
        <f ca="1">INDEX('Exhibit 2.5.1'!$B$33:$V$33,COUNT($B35:$B$44))</f>
        <v>1.1209882831515314</v>
      </c>
      <c r="F35" s="29">
        <f t="shared" ca="1" si="0"/>
        <v>0.2666910387318554</v>
      </c>
      <c r="G35" s="110"/>
    </row>
    <row r="36" spans="1:7">
      <c r="A36" s="110"/>
      <c r="B36" s="28">
        <f t="shared" si="1"/>
        <v>2013</v>
      </c>
      <c r="C36" s="32">
        <f>'Exhibit 1'!$C32/'Exhibit 1'!$B32</f>
        <v>0.19978546539003653</v>
      </c>
      <c r="D36" s="29">
        <f ca="1">INDEX('Exhibit 2.5.1'!$B$32:$V$32,COUNT($B36:$B$44))</f>
        <v>1.018</v>
      </c>
      <c r="E36" s="29">
        <f ca="1">INDEX('Exhibit 2.5.1'!$B$33:$V$33,COUNT($B36:$B$44))</f>
        <v>1.1411660722482591</v>
      </c>
      <c r="F36" s="29">
        <f t="shared" ca="1" si="0"/>
        <v>0.22798839483143848</v>
      </c>
      <c r="G36" s="110"/>
    </row>
    <row r="37" spans="1:7">
      <c r="A37" s="110"/>
      <c r="B37" s="28">
        <f t="shared" si="1"/>
        <v>2014</v>
      </c>
      <c r="C37" s="32">
        <f>'Exhibit 1'!$C33/'Exhibit 1'!$B33</f>
        <v>0.18587883046582881</v>
      </c>
      <c r="D37" s="29">
        <f ca="1">VALUE(LEFT(INDEX('Exhibit 2.5.1'!$B$32:$V$32,COUNT($B37:$B$44)),5))</f>
        <v>1.02</v>
      </c>
      <c r="E37" s="29">
        <f ca="1">INDEX('Exhibit 2.5.1'!$B$33:$V$33,COUNT($B37:$B$44))</f>
        <v>1.1639893936932242</v>
      </c>
      <c r="F37" s="29">
        <f t="shared" ca="1" si="0"/>
        <v>0.2163609871743257</v>
      </c>
      <c r="G37" s="110"/>
    </row>
    <row r="38" spans="1:7">
      <c r="A38" s="110"/>
      <c r="B38" s="28">
        <f t="shared" si="1"/>
        <v>2015</v>
      </c>
      <c r="C38" s="32">
        <f>'Exhibit 1'!$C34/'Exhibit 1'!$B34</f>
        <v>0.17697650689466632</v>
      </c>
      <c r="D38" s="29">
        <f ca="1">VALUE(LEFT(INDEX('Exhibit 2.5.1'!$B$32:$V$32,COUNT($B38:$B$44)),5))</f>
        <v>1.0269999999999999</v>
      </c>
      <c r="E38" s="29">
        <f ca="1">INDEX('Exhibit 2.5.1'!$B$33:$V$33,COUNT($B38:$B$44))</f>
        <v>1.1954171073229412</v>
      </c>
      <c r="F38" s="29">
        <f t="shared" ca="1" si="0"/>
        <v>0.21156074393614055</v>
      </c>
      <c r="G38" s="110"/>
    </row>
    <row r="39" spans="1:7">
      <c r="A39" s="110"/>
      <c r="B39" s="28">
        <f t="shared" si="1"/>
        <v>2016</v>
      </c>
      <c r="C39" s="32">
        <f>'Exhibit 1'!$C35/'Exhibit 1'!$B35</f>
        <v>0.16119679342172061</v>
      </c>
      <c r="D39" s="29">
        <f>VALUE(LEFT(INDEX('Exhibit 2.5.1'!$B$32:$V$32,COUNT($B39:$B$44)),5))</f>
        <v>1.0389999999999999</v>
      </c>
      <c r="E39" s="29">
        <f ca="1">INDEX('Exhibit 2.5.1'!$B$33:$V$33,COUNT($B39:$B$44))</f>
        <v>1.2425767866236499</v>
      </c>
      <c r="F39" s="29">
        <f t="shared" ca="1" si="0"/>
        <v>0.2002993935839979</v>
      </c>
      <c r="G39" s="110"/>
    </row>
    <row r="40" spans="1:7">
      <c r="A40" s="110"/>
      <c r="B40" s="28">
        <f t="shared" si="1"/>
        <v>2017</v>
      </c>
      <c r="C40" s="32">
        <f>'Exhibit 1'!$C36/'Exhibit 1'!$B36</f>
        <v>0.15571139123873637</v>
      </c>
      <c r="D40" s="29">
        <f>VALUE(LEFT(INDEX('Exhibit 2.5.1'!$B$32:$V$32,COUNT($B40:$B$44)),5))</f>
        <v>1.06</v>
      </c>
      <c r="E40" s="29">
        <f ca="1">INDEX('Exhibit 2.5.1'!$B$33:$V$33,COUNT($B40:$B$44))</f>
        <v>1.3165584833694608</v>
      </c>
      <c r="F40" s="29">
        <f t="shared" ca="1" si="0"/>
        <v>0.20500315309261949</v>
      </c>
      <c r="G40" s="110"/>
    </row>
    <row r="41" spans="1:7">
      <c r="A41" s="110"/>
      <c r="B41" s="28">
        <f t="shared" si="1"/>
        <v>2018</v>
      </c>
      <c r="C41" s="32">
        <f>'Exhibit 1'!$C37/'Exhibit 1'!$B37</f>
        <v>0.14874137695328998</v>
      </c>
      <c r="D41" s="29">
        <f>VALUE(LEFT(INDEX('Exhibit 2.5.1'!$B$32:$V$32,COUNT($B41:$B$44)),5))</f>
        <v>1.1220000000000001</v>
      </c>
      <c r="E41" s="29">
        <f ca="1">INDEX('Exhibit 2.5.1'!$B$33:$V$33,COUNT($B41:$B$44))</f>
        <v>1.4771691480857225</v>
      </c>
      <c r="F41" s="29">
        <f t="shared" ref="F41:F42" ca="1" si="3">C41*E41</f>
        <v>0.2197161730791887</v>
      </c>
      <c r="G41" s="110"/>
    </row>
    <row r="42" spans="1:7">
      <c r="A42" s="110"/>
      <c r="B42" s="28">
        <f t="shared" si="1"/>
        <v>2019</v>
      </c>
      <c r="C42" s="32">
        <f>'Exhibit 1'!$C38/'Exhibit 1'!$B38</f>
        <v>0.13952021821046637</v>
      </c>
      <c r="D42" s="29">
        <f>VALUE(LEFT(INDEX('Exhibit 2.5.1'!$B$32:$V$32,COUNT($B42:$B$44)),5))</f>
        <v>1.2529999999999999</v>
      </c>
      <c r="E42" s="29">
        <f ca="1">INDEX('Exhibit 2.5.1'!$B$33:$V$33,COUNT($B42:$B$44))</f>
        <v>1.8501964654056517</v>
      </c>
      <c r="F42" s="29">
        <f t="shared" ca="1" si="3"/>
        <v>0.25813981458563012</v>
      </c>
      <c r="G42" s="110"/>
    </row>
    <row r="43" spans="1:7">
      <c r="A43" s="110"/>
      <c r="B43" s="28">
        <f t="shared" si="1"/>
        <v>2020</v>
      </c>
      <c r="C43" s="32">
        <f>'Exhibit 1'!$C39/'Exhibit 1'!$B39</f>
        <v>9.5421347056253061E-2</v>
      </c>
      <c r="D43" s="29">
        <f>VALUE(LEFT(INDEX('Exhibit 2.5.1'!$B$32:$V$32,COUNT($B43:$B$44)),5))</f>
        <v>1.5680000000000001</v>
      </c>
      <c r="E43" s="29">
        <f ca="1">INDEX('Exhibit 2.5.1'!$B$33:$V$33,COUNT($B43:$B$44))</f>
        <v>2.9019862290801601</v>
      </c>
      <c r="F43" s="29">
        <f t="shared" ref="F43:F44" ca="1" si="4">C43*E43</f>
        <v>0.27691143511752508</v>
      </c>
      <c r="G43" s="110"/>
    </row>
    <row r="44" spans="1:7">
      <c r="A44" s="110"/>
      <c r="B44" s="28">
        <f t="shared" si="1"/>
        <v>2021</v>
      </c>
      <c r="C44" s="32">
        <f>'Exhibit 1'!$C40/'Exhibit 1'!$B40</f>
        <v>3.800894010703685E-2</v>
      </c>
      <c r="D44" s="29">
        <f>VALUE(LEFT(INDEX('Exhibit 2.5.1'!$B$32:$V$32,COUNT($B44:$B$44)),5))</f>
        <v>2.944</v>
      </c>
      <c r="E44" s="29">
        <f ca="1">INDEX('Exhibit 2.5.1'!$B$33:$V$33,COUNT($B44:$B$44))</f>
        <v>8.5431308447518308</v>
      </c>
      <c r="F44" s="29">
        <f t="shared" ca="1" si="4"/>
        <v>0.32471534860475149</v>
      </c>
      <c r="G44" s="110"/>
    </row>
    <row r="45" spans="1:7">
      <c r="A45" s="110"/>
      <c r="B45" s="28"/>
      <c r="C45" s="29"/>
      <c r="D45" s="29"/>
      <c r="E45" s="212"/>
      <c r="F45" s="29"/>
      <c r="G45" s="110"/>
    </row>
    <row r="46" spans="1:7" ht="12.75" customHeight="1">
      <c r="A46" s="110"/>
      <c r="B46" s="42" t="s">
        <v>22</v>
      </c>
      <c r="C46" s="216" t="s">
        <v>420</v>
      </c>
      <c r="D46" s="355"/>
      <c r="E46" s="355"/>
      <c r="F46" s="355"/>
      <c r="G46" s="110"/>
    </row>
    <row r="47" spans="1:7">
      <c r="A47" s="110"/>
      <c r="B47" s="42" t="s">
        <v>28</v>
      </c>
      <c r="C47" s="263" t="s">
        <v>290</v>
      </c>
      <c r="D47" s="330"/>
      <c r="E47" s="44"/>
      <c r="F47" s="44"/>
      <c r="G47" s="110"/>
    </row>
  </sheetData>
  <mergeCells count="1">
    <mergeCell ref="D5:E5"/>
  </mergeCells>
  <printOptions horizontalCentered="1"/>
  <pageMargins left="0.5" right="0.5" top="0.75" bottom="0.75" header="0.33" footer="0.33"/>
  <pageSetup orientation="portrait" blackAndWhite="1" r:id="rId1"/>
  <headerFooter scaleWithDoc="0">
    <oddHeader>&amp;R&amp;"Arial,Regular"&amp;10Exhibit 3.1</oddHeader>
  </headerFooter>
  <ignoredErrors>
    <ignoredError sqref="C7:E7"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H51"/>
  <sheetViews>
    <sheetView zoomScaleNormal="100" zoomScaleSheetLayoutView="100" workbookViewId="0"/>
  </sheetViews>
  <sheetFormatPr defaultColWidth="9.140625" defaultRowHeight="12.75"/>
  <cols>
    <col min="1" max="1" width="12.7109375" style="108" customWidth="1"/>
    <col min="2" max="3" width="15" style="110" customWidth="1"/>
    <col min="4" max="7" width="13.28515625" style="110" customWidth="1"/>
    <col min="8" max="8" width="5.7109375" style="108" customWidth="1"/>
    <col min="9" max="16384" width="9.140625" style="108"/>
  </cols>
  <sheetData>
    <row r="1" spans="1:8">
      <c r="A1" s="213" t="s">
        <v>49</v>
      </c>
      <c r="B1" s="213"/>
      <c r="C1" s="213"/>
      <c r="D1" s="213"/>
      <c r="E1" s="213"/>
      <c r="F1" s="213"/>
      <c r="G1" s="213"/>
      <c r="H1" s="326"/>
    </row>
    <row r="2" spans="1:8">
      <c r="A2" s="213" t="s">
        <v>293</v>
      </c>
      <c r="B2" s="213"/>
      <c r="C2" s="213"/>
      <c r="D2" s="213"/>
      <c r="E2" s="213"/>
      <c r="F2" s="213"/>
      <c r="G2" s="213"/>
      <c r="H2" s="326"/>
    </row>
    <row r="3" spans="1:8">
      <c r="A3" s="245" t="str">
        <f>'Exhibit 3.1'!$A$3</f>
        <v>Based on Experience as of December 31, 2021</v>
      </c>
      <c r="B3" s="213"/>
      <c r="C3" s="213"/>
      <c r="D3" s="213"/>
      <c r="E3" s="213"/>
      <c r="F3" s="213"/>
      <c r="G3" s="213"/>
      <c r="H3" s="326"/>
    </row>
    <row r="4" spans="1:8">
      <c r="A4" s="39"/>
      <c r="B4" s="38"/>
      <c r="C4" s="38"/>
      <c r="D4" s="38"/>
      <c r="E4" s="38"/>
      <c r="F4" s="38"/>
      <c r="G4" s="39"/>
      <c r="H4" s="110"/>
    </row>
    <row r="5" spans="1:8">
      <c r="A5" s="39"/>
      <c r="B5" s="40" t="s">
        <v>45</v>
      </c>
      <c r="C5" s="40" t="s">
        <v>46</v>
      </c>
      <c r="D5" s="40" t="s">
        <v>47</v>
      </c>
      <c r="E5" s="40" t="s">
        <v>48</v>
      </c>
      <c r="F5" s="40" t="s">
        <v>50</v>
      </c>
      <c r="G5" s="40" t="s">
        <v>51</v>
      </c>
      <c r="H5" s="110"/>
    </row>
    <row r="6" spans="1:8">
      <c r="A6" s="39"/>
      <c r="B6" s="39"/>
      <c r="C6" s="530" t="s">
        <v>320</v>
      </c>
      <c r="D6" s="530"/>
      <c r="E6" s="530"/>
      <c r="F6" s="530"/>
      <c r="G6" s="530"/>
      <c r="H6" s="110"/>
    </row>
    <row r="7" spans="1:8">
      <c r="A7" s="110"/>
      <c r="D7" s="531" t="s">
        <v>44</v>
      </c>
      <c r="E7" s="531"/>
      <c r="H7" s="110"/>
    </row>
    <row r="8" spans="1:8">
      <c r="A8" s="39"/>
      <c r="B8" s="39"/>
      <c r="C8" s="39" t="s">
        <v>52</v>
      </c>
      <c r="E8" s="356"/>
      <c r="F8" s="39" t="s">
        <v>52</v>
      </c>
      <c r="G8" s="39" t="s">
        <v>53</v>
      </c>
      <c r="H8" s="110"/>
    </row>
    <row r="9" spans="1:8">
      <c r="A9" s="39" t="s">
        <v>54</v>
      </c>
      <c r="B9" s="39" t="s">
        <v>371</v>
      </c>
      <c r="C9" s="39" t="s">
        <v>371</v>
      </c>
      <c r="E9" s="354"/>
      <c r="F9" s="39" t="s">
        <v>329</v>
      </c>
      <c r="G9" s="39" t="s">
        <v>55</v>
      </c>
      <c r="H9" s="110"/>
    </row>
    <row r="10" spans="1:8">
      <c r="A10" s="41" t="s">
        <v>8</v>
      </c>
      <c r="B10" s="41" t="s">
        <v>340</v>
      </c>
      <c r="C10" s="41" t="s">
        <v>330</v>
      </c>
      <c r="D10" s="41" t="s">
        <v>353</v>
      </c>
      <c r="E10" s="41" t="s">
        <v>422</v>
      </c>
      <c r="F10" s="41" t="s">
        <v>331</v>
      </c>
      <c r="G10" s="41" t="s">
        <v>56</v>
      </c>
      <c r="H10" s="110"/>
    </row>
    <row r="11" spans="1:8">
      <c r="A11" s="39"/>
      <c r="B11" s="42"/>
      <c r="C11" s="39"/>
      <c r="D11" s="39"/>
      <c r="E11" s="39"/>
      <c r="F11" s="39" t="s">
        <v>373</v>
      </c>
      <c r="G11" s="39" t="s">
        <v>374</v>
      </c>
      <c r="H11" s="110"/>
    </row>
    <row r="12" spans="1:8">
      <c r="A12" s="28">
        <v>1987</v>
      </c>
      <c r="B12" s="32">
        <f>'Exhibit 1'!$E6/'Exhibit 1'!$B6</f>
        <v>0.30666668723153168</v>
      </c>
      <c r="C12" s="377">
        <v>0.271667286417625</v>
      </c>
      <c r="D12" s="270">
        <f>INDEX('Exhibit 2.6.2'!$B$25:$Q$25,COUNT($A12:$A$25))</f>
        <v>1.0013999285013899</v>
      </c>
      <c r="E12" s="270">
        <f>INDEX('Exhibit 2.6.2'!$B$26:$Q$26,COUNT($A12:$A$25))</f>
        <v>1.0508315601790785</v>
      </c>
      <c r="F12" s="32">
        <f t="shared" ref="F12:F46" si="0">C12*E12</f>
        <v>0.28547655843584946</v>
      </c>
      <c r="G12" s="32">
        <f t="shared" ref="G12:G46" si="1">B12+F12-C12</f>
        <v>0.32047595924975619</v>
      </c>
      <c r="H12" s="110"/>
    </row>
    <row r="13" spans="1:8">
      <c r="A13" s="28">
        <f t="shared" ref="A13:A40" si="2">+A12+1</f>
        <v>1988</v>
      </c>
      <c r="B13" s="32">
        <f>'Exhibit 1'!$E7/'Exhibit 1'!$B7</f>
        <v>0.29955265054531455</v>
      </c>
      <c r="C13" s="377">
        <v>0.26551509972395787</v>
      </c>
      <c r="D13" s="270">
        <f>INDEX('Exhibit 2.6.2'!$B$25:$Q$25,COUNT($A13:$A$25))</f>
        <v>1.0030798427030578</v>
      </c>
      <c r="E13" s="270">
        <f>INDEX('Exhibit 2.6.2'!$B$26:$Q$26,COUNT($A13:$A$25))</f>
        <v>1.0540679560918389</v>
      </c>
      <c r="F13" s="32">
        <f t="shared" ref="F13" si="3">C13*E13</f>
        <v>0.27987095847755306</v>
      </c>
      <c r="G13" s="32">
        <f t="shared" ref="G13" si="4">B13+F13-C13</f>
        <v>0.31390850929890973</v>
      </c>
      <c r="H13" s="110"/>
    </row>
    <row r="14" spans="1:8">
      <c r="A14" s="28">
        <f t="shared" si="2"/>
        <v>1989</v>
      </c>
      <c r="B14" s="32">
        <f>'Exhibit 1'!$E8/'Exhibit 1'!$B8</f>
        <v>0.31884203918110449</v>
      </c>
      <c r="C14" s="377">
        <v>0.28257389919916742</v>
      </c>
      <c r="D14" s="270">
        <f>INDEX('Exhibit 2.6.2'!$B$25:$Q$25,COUNT($A14:$A$25))</f>
        <v>1.0025198713025019</v>
      </c>
      <c r="E14" s="270">
        <f>INDEX('Exhibit 2.6.2'!$B$26:$Q$26,COUNT($A14:$A$25))</f>
        <v>1.0567240716852815</v>
      </c>
      <c r="F14" s="32">
        <f t="shared" si="0"/>
        <v>0.29860264131373049</v>
      </c>
      <c r="G14" s="32">
        <f t="shared" si="1"/>
        <v>0.33487078129566761</v>
      </c>
      <c r="H14" s="110"/>
    </row>
    <row r="15" spans="1:8">
      <c r="A15" s="28">
        <f t="shared" si="2"/>
        <v>1990</v>
      </c>
      <c r="B15" s="32">
        <f>'Exhibit 1'!$E9/'Exhibit 1'!$B9</f>
        <v>0.36032623790956086</v>
      </c>
      <c r="C15" s="377">
        <v>0.31943319519500668</v>
      </c>
      <c r="D15" s="270">
        <f>INDEX('Exhibit 2.6.2'!$B$25:$Q$25,COUNT($A15:$A$25))</f>
        <v>1.002</v>
      </c>
      <c r="E15" s="270">
        <f>INDEX('Exhibit 2.6.2'!$B$26:$Q$26,COUNT($A15:$A$25))</f>
        <v>1.0588375198286522</v>
      </c>
      <c r="F15" s="32">
        <f t="shared" si="0"/>
        <v>0.33822785215122259</v>
      </c>
      <c r="G15" s="32">
        <f t="shared" si="1"/>
        <v>0.37912089486577671</v>
      </c>
      <c r="H15" s="110"/>
    </row>
    <row r="16" spans="1:8">
      <c r="A16" s="28">
        <f t="shared" si="2"/>
        <v>1991</v>
      </c>
      <c r="B16" s="32">
        <f>'Exhibit 1'!$E10/'Exhibit 1'!$B10</f>
        <v>0.37702804324105244</v>
      </c>
      <c r="C16" s="377">
        <v>0.33444136282756021</v>
      </c>
      <c r="D16" s="270">
        <f>INDEX('Exhibit 2.6.2'!$B$25:$Q$25,COUNT($A16:$A$25))</f>
        <v>1.0030685127147472</v>
      </c>
      <c r="E16" s="270">
        <f>INDEX('Exhibit 2.6.2'!$B$26:$Q$26,COUNT($A16:$A$25))</f>
        <v>1.0620865762210978</v>
      </c>
      <c r="F16" s="32">
        <f t="shared" si="0"/>
        <v>0.35520568199224134</v>
      </c>
      <c r="G16" s="32">
        <f t="shared" si="1"/>
        <v>0.39779236240573357</v>
      </c>
      <c r="H16" s="110"/>
    </row>
    <row r="17" spans="1:8">
      <c r="A17" s="28">
        <f t="shared" si="2"/>
        <v>1992</v>
      </c>
      <c r="B17" s="32">
        <f>'Exhibit 1'!$E11/'Exhibit 1'!$B11</f>
        <v>0.31215105265770876</v>
      </c>
      <c r="C17" s="377">
        <v>0.27714008431161191</v>
      </c>
      <c r="D17" s="270">
        <f>INDEX('Exhibit 2.6.2'!$B$25:$Q$25,COUNT($A17:$A$25))</f>
        <v>1.0019105096249179</v>
      </c>
      <c r="E17" s="270">
        <f>INDEX('Exhibit 2.6.2'!$B$26:$Q$26,COUNT($A17:$A$25))</f>
        <v>1.0641157028474644</v>
      </c>
      <c r="F17" s="32">
        <f t="shared" si="0"/>
        <v>0.29490911560445643</v>
      </c>
      <c r="G17" s="32">
        <f t="shared" si="1"/>
        <v>0.32992008395055333</v>
      </c>
      <c r="H17" s="110"/>
    </row>
    <row r="18" spans="1:8">
      <c r="A18" s="28">
        <f t="shared" si="2"/>
        <v>1993</v>
      </c>
      <c r="B18" s="32">
        <f>'Exhibit 1'!$E12/'Exhibit 1'!$B12</f>
        <v>0.25671760890809314</v>
      </c>
      <c r="C18" s="377">
        <v>0.22788179718600843</v>
      </c>
      <c r="D18" s="270">
        <f>INDEX('Exhibit 2.6.2'!$B$25:$Q$25,COUNT($A18:$A$25))</f>
        <v>1.002394380470184</v>
      </c>
      <c r="E18" s="270">
        <f>INDEX('Exhibit 2.6.2'!$B$26:$Q$26,COUNT($A18:$A$25))</f>
        <v>1.0666636007043786</v>
      </c>
      <c r="F18" s="32">
        <f t="shared" si="0"/>
        <v>0.24307321832141268</v>
      </c>
      <c r="G18" s="32">
        <f t="shared" si="1"/>
        <v>0.27190903004349742</v>
      </c>
      <c r="H18" s="110"/>
    </row>
    <row r="19" spans="1:8">
      <c r="A19" s="28">
        <f t="shared" si="2"/>
        <v>1994</v>
      </c>
      <c r="B19" s="32">
        <f>'Exhibit 1'!$E13/'Exhibit 1'!$B13</f>
        <v>0.2940331477304961</v>
      </c>
      <c r="C19" s="377">
        <v>0.26120955297229542</v>
      </c>
      <c r="D19" s="270">
        <f>INDEX('Exhibit 2.6.2'!$B$25:$Q$25,COUNT($A19:$A$25))</f>
        <v>1.0025716275630057</v>
      </c>
      <c r="E19" s="270">
        <f>INDEX('Exhibit 2.6.2'!$B$26:$Q$26,COUNT($A19:$A$25))</f>
        <v>1.0694066622204048</v>
      </c>
      <c r="F19" s="32">
        <f t="shared" si="0"/>
        <v>0.27933923618418649</v>
      </c>
      <c r="G19" s="32">
        <f t="shared" si="1"/>
        <v>0.31216283094238717</v>
      </c>
      <c r="H19" s="110"/>
    </row>
    <row r="20" spans="1:8">
      <c r="A20" s="28">
        <f t="shared" si="2"/>
        <v>1995</v>
      </c>
      <c r="B20" s="32">
        <f>'Exhibit 1'!$E14/'Exhibit 1'!$B14</f>
        <v>0.43328148657324655</v>
      </c>
      <c r="C20" s="377">
        <v>0.38540943933916855</v>
      </c>
      <c r="D20" s="270">
        <f>INDEX('Exhibit 2.6.2'!$B$25:$Q$25,COUNT($A20:$A$25))</f>
        <v>1.0035230421149588</v>
      </c>
      <c r="E20" s="270">
        <f>INDEX('Exhibit 2.6.2'!$B$26:$Q$26,COUNT($A20:$A$25))</f>
        <v>1.0731742269294249</v>
      </c>
      <c r="F20" s="32">
        <f t="shared" si="0"/>
        <v>0.41361147711411528</v>
      </c>
      <c r="G20" s="32">
        <f t="shared" si="1"/>
        <v>0.46148352434819334</v>
      </c>
      <c r="H20" s="110"/>
    </row>
    <row r="21" spans="1:8">
      <c r="A21" s="28">
        <f t="shared" si="2"/>
        <v>1996</v>
      </c>
      <c r="B21" s="32">
        <f>'Exhibit 1'!$E15/'Exhibit 1'!$B15</f>
        <v>0.46312340842868638</v>
      </c>
      <c r="C21" s="377">
        <v>0.41184828846459093</v>
      </c>
      <c r="D21" s="270">
        <f>INDEX('Exhibit 2.6.2'!$B$25:$Q$25,COUNT($A21:$A$25))</f>
        <v>1.0049474535949059</v>
      </c>
      <c r="E21" s="270">
        <f>INDEX('Exhibit 2.6.2'!$B$26:$Q$26,COUNT($A21:$A$25))</f>
        <v>1.0784837066164072</v>
      </c>
      <c r="F21" s="32">
        <f t="shared" si="0"/>
        <v>0.44417166870691532</v>
      </c>
      <c r="G21" s="32">
        <f t="shared" si="1"/>
        <v>0.49544678867101072</v>
      </c>
      <c r="H21" s="110"/>
    </row>
    <row r="22" spans="1:8">
      <c r="A22" s="28">
        <f t="shared" si="2"/>
        <v>1997</v>
      </c>
      <c r="B22" s="32">
        <f>'Exhibit 1'!$E16/'Exhibit 1'!$B16</f>
        <v>0.51899908463335609</v>
      </c>
      <c r="C22" s="377">
        <v>0.46171444031976155</v>
      </c>
      <c r="D22" s="270">
        <f>INDEX('Exhibit 2.6.2'!$B$25:$Q$25,COUNT($A22:$A$25))</f>
        <v>1.0041660045266787</v>
      </c>
      <c r="E22" s="270">
        <f>INDEX('Exhibit 2.6.2'!$B$26:$Q$26,COUNT($A22:$A$25))</f>
        <v>1.0829766746201204</v>
      </c>
      <c r="F22" s="32">
        <f t="shared" si="0"/>
        <v>0.50002596920158537</v>
      </c>
      <c r="G22" s="32">
        <f t="shared" si="1"/>
        <v>0.55731061351517996</v>
      </c>
      <c r="H22" s="110"/>
    </row>
    <row r="23" spans="1:8">
      <c r="A23" s="28">
        <f t="shared" si="2"/>
        <v>1998</v>
      </c>
      <c r="B23" s="32">
        <f>'Exhibit 1'!$E17/'Exhibit 1'!$B17</f>
        <v>0.61843373219973774</v>
      </c>
      <c r="C23" s="377">
        <v>0.55115015920486732</v>
      </c>
      <c r="D23" s="270">
        <f>INDEX('Exhibit 2.6.2'!$B$25:$Q$25,COUNT($A23:$A$25))</f>
        <v>1.0053686728737892</v>
      </c>
      <c r="E23" s="270">
        <f>INDEX('Exhibit 2.6.2'!$B$26:$Q$26,COUNT($A23:$A$25))</f>
        <v>1.0887908221160998</v>
      </c>
      <c r="F23" s="32">
        <f t="shared" si="0"/>
        <v>0.60008723495008676</v>
      </c>
      <c r="G23" s="32">
        <f t="shared" si="1"/>
        <v>0.66737080794495718</v>
      </c>
      <c r="H23" s="110"/>
    </row>
    <row r="24" spans="1:8">
      <c r="A24" s="28">
        <f t="shared" si="2"/>
        <v>1999</v>
      </c>
      <c r="B24" s="32">
        <f>'Exhibit 1'!$E18/'Exhibit 1'!$B18</f>
        <v>0.67545145171831245</v>
      </c>
      <c r="C24" s="377">
        <v>0.60275880673148541</v>
      </c>
      <c r="D24" s="270">
        <f>INDEX('Exhibit 2.6.2'!$B$25:$Q$25,COUNT($A24:$A$25))</f>
        <v>1.0069999999999999</v>
      </c>
      <c r="E24" s="270">
        <f>INDEX('Exhibit 2.6.2'!$B$26:$Q$26,COUNT($A24:$A$25))</f>
        <v>1.0964123578709124</v>
      </c>
      <c r="F24" s="32">
        <f t="shared" si="0"/>
        <v>0.66087220451592554</v>
      </c>
      <c r="G24" s="32">
        <f t="shared" si="1"/>
        <v>0.73356484950275258</v>
      </c>
      <c r="H24" s="110"/>
    </row>
    <row r="25" spans="1:8">
      <c r="A25" s="28">
        <f t="shared" si="2"/>
        <v>2000</v>
      </c>
      <c r="B25" s="32">
        <f>'Exhibit 1'!$E19/'Exhibit 1'!$B19</f>
        <v>0.60853015370614927</v>
      </c>
      <c r="C25" s="377">
        <v>0.54357314657515854</v>
      </c>
      <c r="D25" s="270">
        <f>INDEX('Exhibit 2.6.2'!$B$25:$Q$25,COUNT($A$25:$A25))</f>
        <v>1.0073333333333334</v>
      </c>
      <c r="E25" s="270">
        <f>INDEX('Exhibit 2.6.2'!$B$26:$Q$26,COUNT($A$25:$A25))</f>
        <v>1.1044527151619659</v>
      </c>
      <c r="F25" s="32">
        <f t="shared" si="0"/>
        <v>0.60035083762406705</v>
      </c>
      <c r="G25" s="32">
        <f t="shared" si="1"/>
        <v>0.66530784475505778</v>
      </c>
      <c r="H25" s="110"/>
    </row>
    <row r="26" spans="1:8">
      <c r="A26" s="28">
        <f t="shared" si="2"/>
        <v>2001</v>
      </c>
      <c r="B26" s="32">
        <f>'Exhibit 1'!$E20/'Exhibit 1'!$B20</f>
        <v>0.53753973912389796</v>
      </c>
      <c r="C26" s="377">
        <v>0.48221625551740149</v>
      </c>
      <c r="D26" s="32">
        <f>INDEX('Exhibit 2.6.1'!$B$29:$V$29,COUNT($B26:$B$46))</f>
        <v>1.0073333333333334</v>
      </c>
      <c r="E26" s="32">
        <f>INDEX('Exhibit 2.6.1'!$B$32:$V$32,COUNT($B26:$B$46))</f>
        <v>1.1125520350731537</v>
      </c>
      <c r="F26" s="32">
        <f t="shared" si="0"/>
        <v>0.53649067642124093</v>
      </c>
      <c r="G26" s="32">
        <f t="shared" si="1"/>
        <v>0.59181416002773735</v>
      </c>
      <c r="H26" s="110"/>
    </row>
    <row r="27" spans="1:8">
      <c r="A27" s="28">
        <f t="shared" si="2"/>
        <v>2002</v>
      </c>
      <c r="B27" s="32">
        <f>'Exhibit 1'!$E21/'Exhibit 1'!$B21</f>
        <v>0.41388161304702714</v>
      </c>
      <c r="C27" s="377">
        <v>0.37243271441282405</v>
      </c>
      <c r="D27" s="32">
        <f>INDEX('Exhibit 2.6.1'!$B$29:$V$29,COUNT($B27:$B$46))</f>
        <v>1.0069999999999999</v>
      </c>
      <c r="E27" s="32">
        <f>INDEX('Exhibit 2.6.1'!$B$32:$V$32,COUNT($B27:$B$46))</f>
        <v>1.1203398993186657</v>
      </c>
      <c r="F27" s="32">
        <f t="shared" si="0"/>
        <v>0.41725122976824069</v>
      </c>
      <c r="G27" s="32">
        <f t="shared" si="1"/>
        <v>0.45870012840244373</v>
      </c>
      <c r="H27" s="110"/>
    </row>
    <row r="28" spans="1:8">
      <c r="A28" s="28">
        <f t="shared" si="2"/>
        <v>2003</v>
      </c>
      <c r="B28" s="29">
        <f>'Exhibit 1'!$E22/'Exhibit 1'!$B22</f>
        <v>0.26431872807372309</v>
      </c>
      <c r="C28" s="262">
        <v>0.23864041089865301</v>
      </c>
      <c r="D28" s="29">
        <f>INDEX('Exhibit 2.6.1'!$B$29:$V$29,COUNT($B28:$B$46))</f>
        <v>1.008</v>
      </c>
      <c r="E28" s="29">
        <f>INDEX('Exhibit 2.6.1'!$B$32:$V$32,COUNT($B28:$B$46))</f>
        <v>1.1293026185132151</v>
      </c>
      <c r="F28" s="29">
        <f t="shared" si="0"/>
        <v>0.26949724091091842</v>
      </c>
      <c r="G28" s="29">
        <f t="shared" si="1"/>
        <v>0.29517555808598855</v>
      </c>
      <c r="H28" s="110"/>
    </row>
    <row r="29" spans="1:8">
      <c r="A29" s="28">
        <f t="shared" si="2"/>
        <v>2004</v>
      </c>
      <c r="B29" s="29">
        <f>'Exhibit 1'!$E23/'Exhibit 1'!$B23</f>
        <v>0.178381635070332</v>
      </c>
      <c r="C29" s="262">
        <v>0.16139705217740999</v>
      </c>
      <c r="D29" s="29">
        <f>INDEX('Exhibit 2.6.1'!$B$29:$V$29,COUNT($B29:$B$46))</f>
        <v>1.0096666666666665</v>
      </c>
      <c r="E29" s="29">
        <f>INDEX('Exhibit 2.6.1'!$B$32:$V$32,COUNT($B29:$B$46))</f>
        <v>1.140219210492176</v>
      </c>
      <c r="F29" s="29">
        <f t="shared" si="0"/>
        <v>0.18402801940949096</v>
      </c>
      <c r="G29" s="29">
        <f t="shared" si="1"/>
        <v>0.201012602302413</v>
      </c>
      <c r="H29" s="110"/>
    </row>
    <row r="30" spans="1:8">
      <c r="A30" s="28">
        <f t="shared" si="2"/>
        <v>2005</v>
      </c>
      <c r="B30" s="29">
        <f>'Exhibit 1'!$E24/'Exhibit 1'!$B24</f>
        <v>0.17387346645889221</v>
      </c>
      <c r="C30" s="262">
        <v>0.15757629726739744</v>
      </c>
      <c r="D30" s="29">
        <f>INDEX('Exhibit 2.6.1'!$B$29:$V$29,COUNT($B30:$B$46))</f>
        <v>1.01</v>
      </c>
      <c r="E30" s="29">
        <f>INDEX('Exhibit 2.6.1'!$B$32:$V$32,COUNT($B30:$B$46))</f>
        <v>1.1516214025970977</v>
      </c>
      <c r="F30" s="29">
        <f t="shared" si="0"/>
        <v>0.18146823647513746</v>
      </c>
      <c r="G30" s="29">
        <f t="shared" si="1"/>
        <v>0.19776540566663223</v>
      </c>
      <c r="H30" s="110"/>
    </row>
    <row r="31" spans="1:8">
      <c r="A31" s="28">
        <f t="shared" si="2"/>
        <v>2006</v>
      </c>
      <c r="B31" s="29">
        <f>'Exhibit 1'!$E25/'Exhibit 1'!$B25</f>
        <v>0.22237547905372992</v>
      </c>
      <c r="C31" s="262">
        <v>0.20228901762227955</v>
      </c>
      <c r="D31" s="29">
        <f>INDEX('Exhibit 2.6.1'!$B$29:$V$29,COUNT($B31:$B$46))</f>
        <v>1.0096666666666667</v>
      </c>
      <c r="E31" s="29">
        <f>INDEX('Exhibit 2.6.1'!$B$32:$V$32,COUNT($B31:$B$46))</f>
        <v>1.162753742822203</v>
      </c>
      <c r="F31" s="29">
        <f t="shared" si="0"/>
        <v>0.23521231237213214</v>
      </c>
      <c r="G31" s="29">
        <f t="shared" si="1"/>
        <v>0.25529877380358246</v>
      </c>
      <c r="H31" s="110"/>
    </row>
    <row r="32" spans="1:8">
      <c r="A32" s="28">
        <f t="shared" si="2"/>
        <v>2007</v>
      </c>
      <c r="B32" s="29">
        <f>'Exhibit 1'!$E26/'Exhibit 1'!$B26</f>
        <v>0.3096141885805293</v>
      </c>
      <c r="C32" s="262">
        <v>0.28275903840780336</v>
      </c>
      <c r="D32" s="29">
        <f>INDEX('Exhibit 2.6.1'!$B$29:$V$29,COUNT($B32:$B$46))</f>
        <v>1.0126666666666668</v>
      </c>
      <c r="E32" s="29">
        <f>INDEX('Exhibit 2.6.1'!$B$32:$V$32,COUNT($B32:$B$46))</f>
        <v>1.1774819568979511</v>
      </c>
      <c r="F32" s="29">
        <f t="shared" si="0"/>
        <v>0.33294366587500324</v>
      </c>
      <c r="G32" s="29">
        <f t="shared" si="1"/>
        <v>0.35979881604772923</v>
      </c>
      <c r="H32" s="110"/>
    </row>
    <row r="33" spans="1:8">
      <c r="A33" s="28">
        <f t="shared" si="2"/>
        <v>2008</v>
      </c>
      <c r="B33" s="29">
        <f>'Exhibit 1'!$E27/'Exhibit 1'!$B27</f>
        <v>0.38112689313958337</v>
      </c>
      <c r="C33" s="262">
        <v>0.34970752205509398</v>
      </c>
      <c r="D33" s="29">
        <f>INDEX('Exhibit 2.6.1'!$B$29:$V$29,COUNT($B33:$B$46))</f>
        <v>1.0126666666666668</v>
      </c>
      <c r="E33" s="29">
        <f>INDEX('Exhibit 2.6.1'!$B$32:$V$32,COUNT($B33:$B$46))</f>
        <v>1.1923967283519921</v>
      </c>
      <c r="F33" s="29">
        <f t="shared" si="0"/>
        <v>0.41699010517857615</v>
      </c>
      <c r="G33" s="29">
        <f t="shared" si="1"/>
        <v>0.44840947626306554</v>
      </c>
      <c r="H33" s="110"/>
    </row>
    <row r="34" spans="1:8">
      <c r="A34" s="28">
        <f t="shared" si="2"/>
        <v>2009</v>
      </c>
      <c r="B34" s="29">
        <f>'Exhibit 1'!$E28/'Exhibit 1'!$B28</f>
        <v>0.44086893982763448</v>
      </c>
      <c r="C34" s="262">
        <v>0.40750311838093212</v>
      </c>
      <c r="D34" s="29">
        <f>INDEX('Exhibit 2.6.1'!$B$29:$V$29,COUNT($B34:$B$46))</f>
        <v>1.0133333333333334</v>
      </c>
      <c r="E34" s="29">
        <f>INDEX('Exhibit 2.6.1'!$B$32:$V$32,COUNT($B34:$B$46))</f>
        <v>1.2082953513966854</v>
      </c>
      <c r="F34" s="29">
        <f t="shared" si="0"/>
        <v>0.49238412361933348</v>
      </c>
      <c r="G34" s="29">
        <f t="shared" si="1"/>
        <v>0.5257499450660359</v>
      </c>
      <c r="H34" s="110"/>
    </row>
    <row r="35" spans="1:8">
      <c r="A35" s="490">
        <f t="shared" si="2"/>
        <v>2010</v>
      </c>
      <c r="B35" s="37">
        <f>'Exhibit 1'!$E29/'Exhibit 1'!$B29</f>
        <v>0.42862256520055964</v>
      </c>
      <c r="C35" s="378">
        <v>0.39806782828283022</v>
      </c>
      <c r="D35" s="37">
        <f>INDEX('Exhibit 2.6.1'!$B$29:$V$29,COUNT($B35:$B$46))</f>
        <v>1.0146666666666666</v>
      </c>
      <c r="E35" s="37">
        <f>INDEX('Exhibit 2.6.1'!$B$32:$V$32,COUNT($B35:$B$46))</f>
        <v>1.2260170165505033</v>
      </c>
      <c r="F35" s="37">
        <f t="shared" si="0"/>
        <v>0.48803793121605354</v>
      </c>
      <c r="G35" s="37">
        <f t="shared" si="1"/>
        <v>0.51859266813378291</v>
      </c>
      <c r="H35" s="110"/>
    </row>
    <row r="36" spans="1:8">
      <c r="A36" s="28">
        <f t="shared" si="2"/>
        <v>2011</v>
      </c>
      <c r="B36" s="29">
        <f>'Exhibit 1'!$E30/'Exhibit 1'!$B30</f>
        <v>0.36046185404230124</v>
      </c>
      <c r="C36" s="262">
        <v>0.33843045600598126</v>
      </c>
      <c r="D36" s="29">
        <f>INDEX('Exhibit 2.6.1'!$B$29:$V$29,COUNT($B36:$B$46))</f>
        <v>1.0153333333333334</v>
      </c>
      <c r="E36" s="29">
        <f>INDEX('Exhibit 2.6.1'!$B$32:$V$32,COUNT($B36:$B$46))</f>
        <v>1.2448159441376112</v>
      </c>
      <c r="F36" s="29">
        <f t="shared" si="0"/>
        <v>0.42128362761800786</v>
      </c>
      <c r="G36" s="29">
        <f t="shared" si="1"/>
        <v>0.44331502565432784</v>
      </c>
      <c r="H36" s="110"/>
    </row>
    <row r="37" spans="1:8">
      <c r="A37" s="28">
        <f t="shared" si="2"/>
        <v>2012</v>
      </c>
      <c r="B37" s="29">
        <f>'Exhibit 1'!$E31/'Exhibit 1'!$B31</f>
        <v>0.30438751873431596</v>
      </c>
      <c r="C37" s="262">
        <v>0.28837555272830256</v>
      </c>
      <c r="D37" s="29">
        <f>INDEX('Exhibit 2.6.1'!$B$29:$V$29,COUNT($B37:$B$46))</f>
        <v>1.0186666666666666</v>
      </c>
      <c r="E37" s="29">
        <f>INDEX('Exhibit 2.6.1'!$B$32:$V$32,COUNT($B37:$B$46))</f>
        <v>1.26805250842818</v>
      </c>
      <c r="F37" s="29">
        <f t="shared" si="0"/>
        <v>0.36567534300648696</v>
      </c>
      <c r="G37" s="29">
        <f t="shared" si="1"/>
        <v>0.38168730901250031</v>
      </c>
      <c r="H37" s="110"/>
    </row>
    <row r="38" spans="1:8">
      <c r="A38" s="28">
        <f t="shared" si="2"/>
        <v>2013</v>
      </c>
      <c r="B38" s="29">
        <f>'Exhibit 1'!$E32/'Exhibit 1'!$B32</f>
        <v>0.24034571673787691</v>
      </c>
      <c r="C38" s="262">
        <v>0.23846329906252861</v>
      </c>
      <c r="D38" s="29">
        <f>INDEX('Exhibit 2.6.1'!$B$29:$V$29,COUNT($B38:$B$46))</f>
        <v>1.0216666666666667</v>
      </c>
      <c r="E38" s="29">
        <f>INDEX('Exhibit 2.6.1'!$B$32:$V$32,COUNT($B38:$B$46))</f>
        <v>1.295526979444124</v>
      </c>
      <c r="F38" s="29">
        <f t="shared" si="0"/>
        <v>0.30893563754275849</v>
      </c>
      <c r="G38" s="29">
        <f t="shared" si="1"/>
        <v>0.31081805521810679</v>
      </c>
      <c r="H38" s="110"/>
    </row>
    <row r="39" spans="1:8">
      <c r="A39" s="28">
        <f t="shared" si="2"/>
        <v>2014</v>
      </c>
      <c r="B39" s="29">
        <f>'Exhibit 1'!$E33/'Exhibit 1'!$B33</f>
        <v>0.20975582704070436</v>
      </c>
      <c r="C39" s="262">
        <v>0.21212057732510434</v>
      </c>
      <c r="D39" s="29">
        <f>INDEX('Exhibit 2.6.1'!$B$29:$V$29,COUNT($B39:$B$46))</f>
        <v>1.022</v>
      </c>
      <c r="E39" s="29">
        <f>INDEX('Exhibit 2.6.1'!$B$32:$V$32,COUNT($B39:$B$46))</f>
        <v>1.3240285729918948</v>
      </c>
      <c r="F39" s="29">
        <f t="shared" si="0"/>
        <v>0.28085370529797477</v>
      </c>
      <c r="G39" s="29">
        <f t="shared" si="1"/>
        <v>0.27848895501357473</v>
      </c>
      <c r="H39" s="110"/>
    </row>
    <row r="40" spans="1:8">
      <c r="A40" s="28">
        <f t="shared" si="2"/>
        <v>2015</v>
      </c>
      <c r="B40" s="29">
        <f>'Exhibit 1'!$E34/'Exhibit 1'!$B34</f>
        <v>0.19157272472102921</v>
      </c>
      <c r="C40" s="262">
        <v>0.19621507784736592</v>
      </c>
      <c r="D40" s="29">
        <f>INDEX('Exhibit 2.6.1'!$B$29:$V$29,COUNT($B40:$B$46))</f>
        <v>1.0329999999999999</v>
      </c>
      <c r="E40" s="29">
        <f>INDEX('Exhibit 2.6.1'!$B$32:$V$32,COUNT($B40:$B$46))</f>
        <v>1.3677215159006273</v>
      </c>
      <c r="F40" s="29">
        <f t="shared" si="0"/>
        <v>0.26836758371595892</v>
      </c>
      <c r="G40" s="29">
        <f t="shared" si="1"/>
        <v>0.26372523058962222</v>
      </c>
      <c r="H40" s="110"/>
    </row>
    <row r="41" spans="1:8">
      <c r="A41" s="28">
        <f>+A40+1</f>
        <v>2016</v>
      </c>
      <c r="B41" s="29">
        <f>'Exhibit 1'!$E35/'Exhibit 1'!$B35</f>
        <v>0.17345572131334408</v>
      </c>
      <c r="C41" s="262">
        <v>0.17897905198387495</v>
      </c>
      <c r="D41" s="253">
        <f>VALUE(LEFT(INDEX('Exhibit 2.6.1'!$B$29:$V$29,COUNT($B41:$B$46)),5))</f>
        <v>1.042</v>
      </c>
      <c r="E41" s="253">
        <f>INDEX('Exhibit 2.6.1'!$B$35:$V$35,COUNT($B41:$B$46))</f>
        <v>1.4094513302836391</v>
      </c>
      <c r="F41" s="29">
        <f t="shared" si="0"/>
        <v>0.25226226291157716</v>
      </c>
      <c r="G41" s="29">
        <f t="shared" si="1"/>
        <v>0.24673893224104629</v>
      </c>
      <c r="H41" s="110"/>
    </row>
    <row r="42" spans="1:8">
      <c r="A42" s="28">
        <f>+A41+1</f>
        <v>2017</v>
      </c>
      <c r="B42" s="29">
        <f>'Exhibit 1'!$E36/'Exhibit 1'!$B36</f>
        <v>0.16759657107393092</v>
      </c>
      <c r="C42" s="262">
        <v>0.17361308295478631</v>
      </c>
      <c r="D42" s="253">
        <f>VALUE(LEFT(INDEX('Exhibit 2.6.1'!$B$29:$V$29,COUNT($B42:$B$46)),5))</f>
        <v>1.0629999999999999</v>
      </c>
      <c r="E42" s="253">
        <f>INDEX('Exhibit 2.6.1'!$B$35:$V$35,COUNT($B42:$B$46))</f>
        <v>1.4850359033983849</v>
      </c>
      <c r="F42" s="29">
        <f t="shared" si="0"/>
        <v>0.25782166148753982</v>
      </c>
      <c r="G42" s="29">
        <f t="shared" si="1"/>
        <v>0.25180514960668443</v>
      </c>
      <c r="H42" s="110"/>
    </row>
    <row r="43" spans="1:8">
      <c r="A43" s="28">
        <f>+A42+1</f>
        <v>2018</v>
      </c>
      <c r="B43" s="29">
        <f>'Exhibit 1'!$E37/'Exhibit 1'!$B37</f>
        <v>0.16487093487097509</v>
      </c>
      <c r="C43" s="262">
        <v>0.17065360326906093</v>
      </c>
      <c r="D43" s="253">
        <f>VALUE(LEFT(INDEX('Exhibit 2.6.1'!$B$29:$V$29,COUNT($B43:$B$46)),5))</f>
        <v>1.109</v>
      </c>
      <c r="E43" s="253">
        <f>INDEX('Exhibit 2.6.1'!$B$35:$V$35,COUNT($B43:$B$46))</f>
        <v>1.6465064070253017</v>
      </c>
      <c r="F43" s="29">
        <f t="shared" si="0"/>
        <v>0.28098225116446279</v>
      </c>
      <c r="G43" s="29">
        <f t="shared" si="1"/>
        <v>0.27519958276637696</v>
      </c>
      <c r="H43" s="110"/>
    </row>
    <row r="44" spans="1:8">
      <c r="A44" s="28">
        <f t="shared" ref="A44:A46" si="5">+A43+1</f>
        <v>2019</v>
      </c>
      <c r="B44" s="29">
        <f>'Exhibit 1'!$E38/'Exhibit 1'!$B38</f>
        <v>0.15162064758445309</v>
      </c>
      <c r="C44" s="262">
        <v>0.15586570118937115</v>
      </c>
      <c r="D44" s="253">
        <f>VALUE(LEFT(INDEX('Exhibit 2.6.1'!$B$29:$V$29,COUNT($B44:$B$46)),5))</f>
        <v>1.2130000000000001</v>
      </c>
      <c r="E44" s="253">
        <f>INDEX('Exhibit 2.6.1'!$B$35:$V$35,COUNT($B44:$B$46))</f>
        <v>1.996701038614459</v>
      </c>
      <c r="F44" s="29">
        <f t="shared" si="0"/>
        <v>0.31121720744918829</v>
      </c>
      <c r="G44" s="29">
        <f t="shared" si="1"/>
        <v>0.30697215384427023</v>
      </c>
      <c r="H44" s="110"/>
    </row>
    <row r="45" spans="1:8">
      <c r="A45" s="28">
        <f t="shared" si="5"/>
        <v>2020</v>
      </c>
      <c r="B45" s="29">
        <f>'Exhibit 1'!$E39/'Exhibit 1'!$B39</f>
        <v>0.10965136414750742</v>
      </c>
      <c r="C45" s="262">
        <v>0.11134551283486374</v>
      </c>
      <c r="D45" s="253">
        <f>VALUE(LEFT(INDEX('Exhibit 2.6.1'!$B$29:$V$29,COUNT($B45:$B$46)),5))</f>
        <v>1.429</v>
      </c>
      <c r="E45" s="253">
        <f>INDEX('Exhibit 2.6.1'!$B$35:$V$35,COUNT($B45:$B$46))</f>
        <v>2.8526964576640328</v>
      </c>
      <c r="F45" s="29">
        <f t="shared" ref="F45" si="6">C45*E45</f>
        <v>0.31763495004080089</v>
      </c>
      <c r="G45" s="29">
        <f t="shared" ref="G45" si="7">B45+F45-C45</f>
        <v>0.3159408013534446</v>
      </c>
      <c r="H45" s="110"/>
    </row>
    <row r="46" spans="1:8">
      <c r="A46" s="28">
        <f t="shared" si="5"/>
        <v>2021</v>
      </c>
      <c r="B46" s="29">
        <f>'Exhibit 1'!$E40/'Exhibit 1'!$B40</f>
        <v>5.0367999169474181E-2</v>
      </c>
      <c r="C46" s="262">
        <v>5.0639231588798697E-2</v>
      </c>
      <c r="D46" s="253">
        <f>VALUE(LEFT(INDEX('Exhibit 2.6.1'!$B$29:$V$29,COUNT($B46:$B$46)),5))</f>
        <v>2.464</v>
      </c>
      <c r="E46" s="253">
        <f>INDEX('Exhibit 2.6.1'!$B$35:$V$35,COUNT($B46:$B$46))</f>
        <v>7.0292483595200279</v>
      </c>
      <c r="F46" s="29">
        <f t="shared" si="0"/>
        <v>0.35595573557291804</v>
      </c>
      <c r="G46" s="29">
        <f t="shared" si="1"/>
        <v>0.35568450315359357</v>
      </c>
      <c r="H46" s="110"/>
    </row>
    <row r="47" spans="1:8">
      <c r="A47" s="28"/>
      <c r="B47" s="29"/>
      <c r="C47" s="29"/>
      <c r="D47" s="29"/>
      <c r="E47" s="43"/>
      <c r="F47" s="29"/>
      <c r="G47" s="44"/>
      <c r="H47" s="110"/>
    </row>
    <row r="48" spans="1:8" ht="12.75" customHeight="1">
      <c r="A48" s="42" t="s">
        <v>22</v>
      </c>
      <c r="B48" s="263" t="s">
        <v>421</v>
      </c>
      <c r="C48" s="263"/>
      <c r="D48" s="263"/>
      <c r="E48" s="263"/>
      <c r="F48" s="263"/>
      <c r="G48" s="263"/>
      <c r="H48" s="263"/>
    </row>
    <row r="49" spans="1:8" ht="51.95" customHeight="1">
      <c r="A49" s="42" t="s">
        <v>28</v>
      </c>
      <c r="B49" s="521" t="s">
        <v>527</v>
      </c>
      <c r="C49" s="521"/>
      <c r="D49" s="521"/>
      <c r="E49" s="521"/>
      <c r="F49" s="521"/>
      <c r="G49" s="521"/>
      <c r="H49" s="521"/>
    </row>
    <row r="50" spans="1:8" ht="12.75" customHeight="1">
      <c r="A50" s="42" t="s">
        <v>38</v>
      </c>
      <c r="B50" s="263" t="s">
        <v>321</v>
      </c>
      <c r="C50" s="263"/>
      <c r="D50" s="263"/>
      <c r="E50" s="263"/>
      <c r="F50" s="263"/>
      <c r="G50" s="263"/>
      <c r="H50" s="221"/>
    </row>
    <row r="51" spans="1:8" ht="41.25" customHeight="1">
      <c r="A51" s="42" t="s">
        <v>57</v>
      </c>
      <c r="B51" s="529" t="s">
        <v>526</v>
      </c>
      <c r="C51" s="529"/>
      <c r="D51" s="529"/>
      <c r="E51" s="529"/>
      <c r="F51" s="529"/>
      <c r="G51" s="529"/>
      <c r="H51" s="529"/>
    </row>
  </sheetData>
  <mergeCells count="4">
    <mergeCell ref="B51:H51"/>
    <mergeCell ref="C6:G6"/>
    <mergeCell ref="D7:E7"/>
    <mergeCell ref="B49:H49"/>
  </mergeCells>
  <printOptions horizontalCentered="1"/>
  <pageMargins left="0.5" right="0.5" top="0.75" bottom="0.75" header="0.33" footer="0.33"/>
  <pageSetup scale="95" orientation="portrait" blackAndWhite="1" horizontalDpi="1200" verticalDpi="1200" r:id="rId1"/>
  <headerFooter scaleWithDoc="0">
    <oddHeader>&amp;R&amp;"Arial,Regular"&amp;10Exhibit 3.2</oddHeader>
  </headerFooter>
  <ignoredErrors>
    <ignoredError sqref="B5:C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M59"/>
  <sheetViews>
    <sheetView zoomScaleNormal="100" workbookViewId="0">
      <selection sqref="A1:M1"/>
    </sheetView>
  </sheetViews>
  <sheetFormatPr defaultColWidth="9.140625" defaultRowHeight="12.75"/>
  <cols>
    <col min="1" max="1" width="3.5703125" style="174" customWidth="1"/>
    <col min="2" max="2" width="9" style="174" customWidth="1"/>
    <col min="3" max="3" width="9.140625" style="174"/>
    <col min="4" max="4" width="6.85546875" style="174" customWidth="1"/>
    <col min="5" max="5" width="11" style="174" customWidth="1"/>
    <col min="6" max="6" width="6.42578125" style="174" customWidth="1"/>
    <col min="7" max="7" width="9.140625" style="174"/>
    <col min="8" max="8" width="6.85546875" style="174" customWidth="1"/>
    <col min="9" max="9" width="11" style="174" bestFit="1" customWidth="1"/>
    <col min="10" max="10" width="6.42578125" style="174" customWidth="1"/>
    <col min="11" max="11" width="9.140625" style="174"/>
    <col min="12" max="12" width="10.42578125" style="174" customWidth="1"/>
    <col min="13" max="13" width="3.140625" style="174" customWidth="1"/>
    <col min="14" max="16384" width="9.140625" style="174"/>
  </cols>
  <sheetData>
    <row r="1" spans="1:13">
      <c r="A1" s="535" t="s">
        <v>60</v>
      </c>
      <c r="B1" s="535"/>
      <c r="C1" s="535"/>
      <c r="D1" s="535"/>
      <c r="E1" s="535"/>
      <c r="F1" s="535"/>
      <c r="G1" s="535"/>
      <c r="H1" s="535"/>
      <c r="I1" s="535"/>
      <c r="J1" s="535"/>
      <c r="K1" s="535"/>
      <c r="L1" s="535"/>
      <c r="M1" s="535"/>
    </row>
    <row r="2" spans="1:13">
      <c r="A2" s="177"/>
      <c r="B2" s="178"/>
      <c r="C2" s="178"/>
      <c r="D2" s="178"/>
      <c r="E2" s="178"/>
      <c r="F2" s="178"/>
      <c r="G2" s="178"/>
      <c r="H2" s="178"/>
      <c r="I2" s="178"/>
      <c r="J2" s="177"/>
      <c r="K2" s="178"/>
      <c r="L2" s="178"/>
      <c r="M2" s="178"/>
    </row>
    <row r="3" spans="1:13">
      <c r="A3" s="177"/>
      <c r="B3" s="177"/>
      <c r="C3" s="177"/>
      <c r="D3" s="27" t="s">
        <v>45</v>
      </c>
      <c r="E3" s="27"/>
      <c r="F3" s="27" t="s">
        <v>46</v>
      </c>
      <c r="G3" s="177"/>
      <c r="H3" s="27" t="s">
        <v>47</v>
      </c>
      <c r="I3" s="177"/>
      <c r="J3" s="27" t="s">
        <v>48</v>
      </c>
      <c r="K3" s="177"/>
      <c r="L3" s="45" t="s">
        <v>50</v>
      </c>
      <c r="M3" s="177"/>
    </row>
    <row r="4" spans="1:13">
      <c r="A4" s="177"/>
      <c r="B4" s="177"/>
      <c r="C4" s="177"/>
      <c r="D4" s="177" t="s">
        <v>61</v>
      </c>
      <c r="E4" s="177"/>
      <c r="F4" s="27"/>
      <c r="G4" s="27"/>
      <c r="H4" s="177" t="s">
        <v>62</v>
      </c>
      <c r="I4" s="27"/>
      <c r="J4" s="177" t="s">
        <v>63</v>
      </c>
      <c r="K4" s="27"/>
      <c r="L4" s="30" t="s">
        <v>64</v>
      </c>
      <c r="M4" s="177"/>
    </row>
    <row r="5" spans="1:13">
      <c r="A5" s="177"/>
      <c r="B5" s="177"/>
      <c r="C5" s="177"/>
      <c r="D5" s="177" t="s">
        <v>65</v>
      </c>
      <c r="E5" s="177"/>
      <c r="F5" s="177"/>
      <c r="G5" s="177"/>
      <c r="H5" s="177" t="s">
        <v>66</v>
      </c>
      <c r="I5" s="177"/>
      <c r="J5" s="177" t="s">
        <v>67</v>
      </c>
      <c r="K5" s="177"/>
      <c r="L5" s="30" t="s">
        <v>3</v>
      </c>
      <c r="M5" s="177"/>
    </row>
    <row r="6" spans="1:13">
      <c r="A6" s="177"/>
      <c r="B6" s="177" t="s">
        <v>54</v>
      </c>
      <c r="C6" s="39"/>
      <c r="D6" s="39" t="s">
        <v>68</v>
      </c>
      <c r="E6" s="39"/>
      <c r="F6" s="39" t="s">
        <v>68</v>
      </c>
      <c r="G6" s="39"/>
      <c r="H6" s="39" t="s">
        <v>69</v>
      </c>
      <c r="I6" s="39"/>
      <c r="J6" s="39" t="s">
        <v>70</v>
      </c>
      <c r="K6" s="39"/>
      <c r="L6" s="39" t="s">
        <v>71</v>
      </c>
      <c r="M6" s="39"/>
    </row>
    <row r="7" spans="1:13">
      <c r="A7" s="26"/>
      <c r="B7" s="26" t="s">
        <v>8</v>
      </c>
      <c r="C7" s="26"/>
      <c r="D7" s="26" t="s">
        <v>72</v>
      </c>
      <c r="E7" s="26"/>
      <c r="F7" s="26" t="s">
        <v>72</v>
      </c>
      <c r="G7" s="26"/>
      <c r="H7" s="26" t="s">
        <v>73</v>
      </c>
      <c r="I7" s="26"/>
      <c r="J7" s="26" t="s">
        <v>74</v>
      </c>
      <c r="K7" s="26"/>
      <c r="L7" s="46" t="s">
        <v>75</v>
      </c>
      <c r="M7" s="26"/>
    </row>
    <row r="8" spans="1:13">
      <c r="A8" s="177"/>
      <c r="B8" s="177"/>
      <c r="C8" s="177"/>
      <c r="D8" s="47"/>
      <c r="E8" s="47"/>
      <c r="F8" s="47"/>
      <c r="G8" s="177"/>
      <c r="H8" s="48"/>
      <c r="I8" s="177"/>
      <c r="J8" s="178"/>
      <c r="K8" s="177"/>
      <c r="L8" s="30"/>
      <c r="M8" s="177"/>
    </row>
    <row r="9" spans="1:13">
      <c r="A9" s="177"/>
      <c r="B9" s="177">
        <v>1987</v>
      </c>
      <c r="C9" s="177"/>
      <c r="D9" s="380">
        <v>0</v>
      </c>
      <c r="E9" s="381"/>
      <c r="F9" s="380">
        <v>0</v>
      </c>
      <c r="G9" s="52"/>
      <c r="H9" s="380">
        <v>1.9</v>
      </c>
      <c r="I9" s="48"/>
      <c r="J9" s="48">
        <f t="shared" ref="J9:J46" si="0">+(((1+D9/100)*(1+F9/100)*(1+H9/100)-1))*100</f>
        <v>1.8999999999999906</v>
      </c>
      <c r="K9" s="177"/>
      <c r="L9" s="30">
        <f t="shared" ref="L9:L21" si="1">L10*(1+J10/100)</f>
        <v>1.7023075326521706</v>
      </c>
      <c r="M9" s="177"/>
    </row>
    <row r="10" spans="1:13">
      <c r="A10" s="177"/>
      <c r="B10" s="177">
        <f t="shared" ref="B10:B45" si="2">B9+1</f>
        <v>1988</v>
      </c>
      <c r="C10" s="177"/>
      <c r="D10" s="380">
        <v>0</v>
      </c>
      <c r="E10" s="381"/>
      <c r="F10" s="380">
        <v>0</v>
      </c>
      <c r="G10" s="52"/>
      <c r="H10" s="380">
        <v>1.5</v>
      </c>
      <c r="I10" s="48"/>
      <c r="J10" s="48">
        <f t="shared" si="0"/>
        <v>1.4999999999999902</v>
      </c>
      <c r="K10" s="177"/>
      <c r="L10" s="30">
        <f t="shared" si="1"/>
        <v>1.6771502784750452</v>
      </c>
      <c r="M10" s="177"/>
    </row>
    <row r="11" spans="1:13">
      <c r="A11" s="177"/>
      <c r="B11" s="177">
        <f t="shared" si="2"/>
        <v>1989</v>
      </c>
      <c r="C11" s="177"/>
      <c r="D11" s="380">
        <v>0</v>
      </c>
      <c r="E11" s="381"/>
      <c r="F11" s="380">
        <v>0</v>
      </c>
      <c r="G11" s="52"/>
      <c r="H11" s="380">
        <v>1.5</v>
      </c>
      <c r="I11" s="48"/>
      <c r="J11" s="48">
        <f t="shared" si="0"/>
        <v>1.4999999999999902</v>
      </c>
      <c r="K11" s="177"/>
      <c r="L11" s="30">
        <f t="shared" si="1"/>
        <v>1.652364806379355</v>
      </c>
      <c r="M11" s="177"/>
    </row>
    <row r="12" spans="1:13">
      <c r="A12" s="177"/>
      <c r="B12" s="177">
        <f t="shared" si="2"/>
        <v>1990</v>
      </c>
      <c r="C12" s="177"/>
      <c r="D12" s="380">
        <v>2.2999999999999998</v>
      </c>
      <c r="E12" s="381"/>
      <c r="F12" s="380">
        <v>19.899999999999999</v>
      </c>
      <c r="G12" s="52"/>
      <c r="H12" s="380">
        <v>1.7000000000000002</v>
      </c>
      <c r="I12" s="48"/>
      <c r="J12" s="48">
        <f t="shared" si="0"/>
        <v>24.742880899999985</v>
      </c>
      <c r="K12" s="177"/>
      <c r="L12" s="30">
        <f t="shared" si="1"/>
        <v>1.3246165187606751</v>
      </c>
      <c r="M12" s="177"/>
    </row>
    <row r="13" spans="1:13">
      <c r="A13" s="177"/>
      <c r="B13" s="177">
        <f t="shared" si="2"/>
        <v>1991</v>
      </c>
      <c r="C13" s="177"/>
      <c r="D13" s="380">
        <v>4.9000000000000004</v>
      </c>
      <c r="E13" s="381"/>
      <c r="F13" s="380">
        <v>14.8</v>
      </c>
      <c r="G13" s="52"/>
      <c r="H13" s="380">
        <v>0.8</v>
      </c>
      <c r="I13" s="48"/>
      <c r="J13" s="48">
        <f t="shared" si="0"/>
        <v>21.388601600000001</v>
      </c>
      <c r="K13" s="177"/>
      <c r="L13" s="30">
        <f t="shared" si="1"/>
        <v>1.0912198520298919</v>
      </c>
      <c r="M13" s="177"/>
    </row>
    <row r="14" spans="1:13">
      <c r="A14" s="177"/>
      <c r="B14" s="177">
        <f t="shared" si="2"/>
        <v>1992</v>
      </c>
      <c r="C14" s="177"/>
      <c r="D14" s="380">
        <v>1.8</v>
      </c>
      <c r="E14" s="381"/>
      <c r="F14" s="380">
        <v>-8.3000000000000007</v>
      </c>
      <c r="G14" s="52"/>
      <c r="H14" s="380">
        <v>1.6</v>
      </c>
      <c r="I14" s="48"/>
      <c r="J14" s="48">
        <f t="shared" si="0"/>
        <v>-5.1557903999999937</v>
      </c>
      <c r="K14" s="177"/>
      <c r="L14" s="30">
        <f t="shared" si="1"/>
        <v>1.1505392439159425</v>
      </c>
      <c r="M14" s="177"/>
    </row>
    <row r="15" spans="1:13">
      <c r="A15" s="177"/>
      <c r="B15" s="177">
        <f t="shared" si="2"/>
        <v>1993</v>
      </c>
      <c r="C15" s="177"/>
      <c r="D15" s="380">
        <v>0.2</v>
      </c>
      <c r="E15" s="381"/>
      <c r="F15" s="380">
        <v>-18.100000000000001</v>
      </c>
      <c r="G15" s="52"/>
      <c r="H15" s="380">
        <v>0.4</v>
      </c>
      <c r="I15" s="48"/>
      <c r="J15" s="48">
        <f t="shared" si="0"/>
        <v>-17.607944799999999</v>
      </c>
      <c r="K15" s="177"/>
      <c r="L15" s="30">
        <f t="shared" si="1"/>
        <v>1.3964201294931924</v>
      </c>
      <c r="M15" s="177"/>
    </row>
    <row r="16" spans="1:13">
      <c r="A16" s="177"/>
      <c r="B16" s="177">
        <f t="shared" si="2"/>
        <v>1994</v>
      </c>
      <c r="C16" s="177"/>
      <c r="D16" s="380">
        <v>-5.0999999999999996</v>
      </c>
      <c r="E16" s="381"/>
      <c r="F16" s="380">
        <v>0.2</v>
      </c>
      <c r="G16" s="52"/>
      <c r="H16" s="380">
        <v>0.6</v>
      </c>
      <c r="I16" s="48"/>
      <c r="J16" s="48">
        <f t="shared" si="0"/>
        <v>-4.3396612000000108</v>
      </c>
      <c r="K16" s="177"/>
      <c r="L16" s="30">
        <f t="shared" si="1"/>
        <v>1.4597691655814966</v>
      </c>
      <c r="M16" s="177"/>
    </row>
    <row r="17" spans="1:13">
      <c r="A17" s="177"/>
      <c r="B17" s="177">
        <f t="shared" si="2"/>
        <v>1995</v>
      </c>
      <c r="C17" s="177"/>
      <c r="D17" s="380">
        <v>6.3</v>
      </c>
      <c r="E17" s="381"/>
      <c r="F17" s="380">
        <v>0.6</v>
      </c>
      <c r="G17" s="52"/>
      <c r="H17" s="380">
        <v>1</v>
      </c>
      <c r="I17" s="48"/>
      <c r="J17" s="48">
        <f t="shared" si="0"/>
        <v>8.0071779999999926</v>
      </c>
      <c r="K17" s="177"/>
      <c r="L17" s="30">
        <f t="shared" si="1"/>
        <v>1.3515482883753307</v>
      </c>
      <c r="M17" s="177"/>
    </row>
    <row r="18" spans="1:13">
      <c r="A18" s="177"/>
      <c r="B18" s="177">
        <f t="shared" si="2"/>
        <v>1996</v>
      </c>
      <c r="C18" s="177"/>
      <c r="D18" s="380">
        <v>5.3</v>
      </c>
      <c r="E18" s="381"/>
      <c r="F18" s="380">
        <v>0.4</v>
      </c>
      <c r="G18" s="52"/>
      <c r="H18" s="380">
        <v>1.2</v>
      </c>
      <c r="I18" s="48"/>
      <c r="J18" s="48">
        <f t="shared" si="0"/>
        <v>6.9898543999999951</v>
      </c>
      <c r="K18" s="177"/>
      <c r="L18" s="30">
        <f t="shared" si="1"/>
        <v>1.2632490210916025</v>
      </c>
      <c r="M18" s="177"/>
    </row>
    <row r="19" spans="1:13">
      <c r="A19" s="177"/>
      <c r="B19" s="177">
        <f t="shared" si="2"/>
        <v>1997</v>
      </c>
      <c r="C19" s="177"/>
      <c r="D19" s="380">
        <v>9.6999999999999993</v>
      </c>
      <c r="E19" s="381"/>
      <c r="F19" s="380">
        <v>0.2</v>
      </c>
      <c r="G19" s="52"/>
      <c r="H19" s="380">
        <v>1.6</v>
      </c>
      <c r="I19" s="48"/>
      <c r="J19" s="48">
        <f t="shared" si="0"/>
        <v>11.678110399999998</v>
      </c>
      <c r="K19" s="177"/>
      <c r="L19" s="30">
        <f t="shared" si="1"/>
        <v>1.1311518582889657</v>
      </c>
      <c r="M19" s="177"/>
    </row>
    <row r="20" spans="1:13">
      <c r="A20" s="177"/>
      <c r="B20" s="177">
        <f t="shared" si="2"/>
        <v>1998</v>
      </c>
      <c r="C20" s="177"/>
      <c r="D20" s="380">
        <v>6.5</v>
      </c>
      <c r="E20" s="381"/>
      <c r="F20" s="380">
        <v>0</v>
      </c>
      <c r="G20" s="52"/>
      <c r="H20" s="380">
        <v>1.8000000000000003</v>
      </c>
      <c r="I20" s="48"/>
      <c r="J20" s="48">
        <f t="shared" si="0"/>
        <v>8.4169999999999856</v>
      </c>
      <c r="K20" s="177"/>
      <c r="L20" s="30">
        <f t="shared" si="1"/>
        <v>1.0433344016980417</v>
      </c>
      <c r="M20" s="177"/>
    </row>
    <row r="21" spans="1:13">
      <c r="A21" s="177"/>
      <c r="B21" s="177">
        <f t="shared" si="2"/>
        <v>1999</v>
      </c>
      <c r="C21" s="177"/>
      <c r="D21" s="380">
        <v>5.7</v>
      </c>
      <c r="E21" s="381"/>
      <c r="F21" s="380">
        <v>0</v>
      </c>
      <c r="G21" s="52"/>
      <c r="H21" s="380">
        <v>2.1</v>
      </c>
      <c r="I21" s="48"/>
      <c r="J21" s="48">
        <f t="shared" si="0"/>
        <v>7.919699999999974</v>
      </c>
      <c r="K21" s="177"/>
      <c r="L21" s="30">
        <f t="shared" si="1"/>
        <v>0.96676918273312662</v>
      </c>
      <c r="M21" s="177"/>
    </row>
    <row r="22" spans="1:13">
      <c r="A22" s="177"/>
      <c r="B22" s="177">
        <f t="shared" si="2"/>
        <v>2000</v>
      </c>
      <c r="C22" s="177"/>
      <c r="D22" s="380">
        <v>3.9</v>
      </c>
      <c r="E22" s="382"/>
      <c r="F22" s="380">
        <v>0</v>
      </c>
      <c r="G22" s="52"/>
      <c r="H22" s="380">
        <v>3.1</v>
      </c>
      <c r="I22" s="48"/>
      <c r="J22" s="48">
        <f t="shared" si="0"/>
        <v>7.1208999999999856</v>
      </c>
      <c r="K22" s="177"/>
      <c r="L22" s="30">
        <f t="shared" ref="L22" si="3">L23*(1+J23/100)</f>
        <v>0.9025028568030391</v>
      </c>
      <c r="M22" s="177"/>
    </row>
    <row r="23" spans="1:13">
      <c r="A23" s="177"/>
      <c r="B23" s="177">
        <f t="shared" si="2"/>
        <v>2001</v>
      </c>
      <c r="C23" s="177"/>
      <c r="D23" s="380">
        <v>-0.3</v>
      </c>
      <c r="E23" s="382"/>
      <c r="F23" s="380">
        <v>0</v>
      </c>
      <c r="G23" s="52"/>
      <c r="H23" s="380">
        <v>0.2</v>
      </c>
      <c r="I23" s="48"/>
      <c r="J23" s="48">
        <f t="shared" si="0"/>
        <v>-0.10059999999999514</v>
      </c>
      <c r="K23" s="177"/>
      <c r="L23" s="384">
        <f>+(J25/100+1)*(J26/100+1)*(J27/100+1)*(J24/100+1)*L27</f>
        <v>0.90341168896213497</v>
      </c>
      <c r="M23" s="177"/>
    </row>
    <row r="24" spans="1:13">
      <c r="A24" s="177"/>
      <c r="B24" s="177">
        <f t="shared" si="2"/>
        <v>2002</v>
      </c>
      <c r="C24" s="177"/>
      <c r="D24" s="380">
        <v>-0.7</v>
      </c>
      <c r="E24" s="382"/>
      <c r="F24" s="380">
        <v>0</v>
      </c>
      <c r="G24" s="52"/>
      <c r="H24" s="380">
        <v>0.4</v>
      </c>
      <c r="I24" s="48"/>
      <c r="J24" s="48">
        <f t="shared" si="0"/>
        <v>-0.30280000000000307</v>
      </c>
      <c r="K24" s="177"/>
      <c r="L24" s="384">
        <f>+L27*(1+J26/100)*(1+J25/100)*(1+E56)</f>
        <v>0.9253462716357328</v>
      </c>
      <c r="M24" s="49" t="s">
        <v>41</v>
      </c>
    </row>
    <row r="25" spans="1:13">
      <c r="A25" s="177"/>
      <c r="B25" s="177">
        <f t="shared" si="2"/>
        <v>2003</v>
      </c>
      <c r="C25" s="177"/>
      <c r="D25" s="380">
        <v>7.3436000000000057</v>
      </c>
      <c r="E25" s="382"/>
      <c r="F25" s="380">
        <v>0</v>
      </c>
      <c r="G25" s="52"/>
      <c r="H25" s="380">
        <v>1.2</v>
      </c>
      <c r="I25" s="48"/>
      <c r="J25" s="48">
        <f t="shared" si="0"/>
        <v>8.6317232000000068</v>
      </c>
      <c r="K25" s="177"/>
      <c r="L25" s="384">
        <f>+L27*(1+J26/100)*(1+E57)</f>
        <v>0.92248306208972286</v>
      </c>
      <c r="M25" s="49" t="s">
        <v>41</v>
      </c>
    </row>
    <row r="26" spans="1:13">
      <c r="A26" s="177"/>
      <c r="B26" s="177">
        <f t="shared" si="2"/>
        <v>2004</v>
      </c>
      <c r="C26" s="177"/>
      <c r="D26" s="380">
        <v>-5.9782388663967678</v>
      </c>
      <c r="E26" s="382"/>
      <c r="F26" s="380">
        <v>-13.7</v>
      </c>
      <c r="G26" s="52"/>
      <c r="H26" s="380">
        <v>2.1</v>
      </c>
      <c r="I26" s="48"/>
      <c r="J26" s="48">
        <f t="shared" si="0"/>
        <v>-17.155263764676132</v>
      </c>
      <c r="K26" s="177"/>
      <c r="L26" s="384">
        <f>+L27*(1+E58)</f>
        <v>1.2627768886062771</v>
      </c>
      <c r="M26" s="49" t="s">
        <v>41</v>
      </c>
    </row>
    <row r="27" spans="1:13">
      <c r="A27" s="177"/>
      <c r="B27" s="177">
        <f t="shared" si="2"/>
        <v>2005</v>
      </c>
      <c r="C27" s="177"/>
      <c r="D27" s="380">
        <v>-31.634572864321608</v>
      </c>
      <c r="E27" s="382"/>
      <c r="F27" s="380">
        <v>-15.3</v>
      </c>
      <c r="G27" s="52"/>
      <c r="H27" s="380">
        <v>1.6</v>
      </c>
      <c r="I27" s="48"/>
      <c r="J27" s="48">
        <f t="shared" si="0"/>
        <v>-41.167994947537693</v>
      </c>
      <c r="K27" s="177"/>
      <c r="L27" s="33">
        <f t="shared" ref="L27:L44" si="4">L28*(1+J28/100)</f>
        <v>1.7114629664357011</v>
      </c>
      <c r="M27" s="49"/>
    </row>
    <row r="28" spans="1:13">
      <c r="A28" s="177"/>
      <c r="B28" s="177">
        <f t="shared" si="2"/>
        <v>2006</v>
      </c>
      <c r="C28" s="177"/>
      <c r="D28" s="380">
        <v>5.6</v>
      </c>
      <c r="E28" s="381"/>
      <c r="F28" s="380">
        <v>-5.7</v>
      </c>
      <c r="G28" s="52"/>
      <c r="H28" s="380">
        <v>2.2000000000000002</v>
      </c>
      <c r="I28" s="48"/>
      <c r="J28" s="48">
        <f t="shared" si="0"/>
        <v>1.7715775999999961</v>
      </c>
      <c r="K28" s="177"/>
      <c r="L28" s="33">
        <f t="shared" si="4"/>
        <v>1.6816708621363663</v>
      </c>
      <c r="M28" s="177"/>
    </row>
    <row r="29" spans="1:13">
      <c r="A29" s="177"/>
      <c r="B29" s="177">
        <f t="shared" si="2"/>
        <v>2007</v>
      </c>
      <c r="C29" s="177"/>
      <c r="D29" s="380">
        <v>1.6</v>
      </c>
      <c r="E29" s="381"/>
      <c r="F29" s="380">
        <v>0</v>
      </c>
      <c r="G29" s="52"/>
      <c r="H29" s="380">
        <v>2.1</v>
      </c>
      <c r="I29" s="177"/>
      <c r="J29" s="48">
        <f t="shared" si="0"/>
        <v>3.7335999999999814</v>
      </c>
      <c r="K29" s="177"/>
      <c r="L29" s="33">
        <f t="shared" si="4"/>
        <v>1.6211438358799526</v>
      </c>
      <c r="M29" s="177"/>
    </row>
    <row r="30" spans="1:13">
      <c r="A30" s="177"/>
      <c r="B30" s="177">
        <f t="shared" si="2"/>
        <v>2008</v>
      </c>
      <c r="C30" s="177"/>
      <c r="D30" s="380">
        <v>4.8</v>
      </c>
      <c r="E30" s="383"/>
      <c r="F30" s="380">
        <v>0.6</v>
      </c>
      <c r="G30" s="52"/>
      <c r="H30" s="380">
        <v>1</v>
      </c>
      <c r="I30" s="177"/>
      <c r="J30" s="48">
        <f t="shared" si="0"/>
        <v>6.4830880000000146</v>
      </c>
      <c r="K30" s="177"/>
      <c r="L30" s="33">
        <f t="shared" si="4"/>
        <v>1.522442545881044</v>
      </c>
      <c r="M30" s="177"/>
    </row>
    <row r="31" spans="1:13">
      <c r="A31" s="177"/>
      <c r="B31" s="177">
        <f t="shared" si="2"/>
        <v>2009</v>
      </c>
      <c r="D31" s="380">
        <v>0.4</v>
      </c>
      <c r="E31" s="381"/>
      <c r="F31" s="380">
        <v>1.4</v>
      </c>
      <c r="G31" s="375"/>
      <c r="H31" s="380">
        <v>0.2</v>
      </c>
      <c r="I31" s="177"/>
      <c r="J31" s="48">
        <f t="shared" si="0"/>
        <v>2.0092112000000162</v>
      </c>
      <c r="K31" s="177"/>
      <c r="L31" s="33">
        <f t="shared" si="4"/>
        <v>1.4924559537041531</v>
      </c>
      <c r="M31" s="177"/>
    </row>
    <row r="32" spans="1:13">
      <c r="A32" s="177"/>
      <c r="B32" s="177">
        <f t="shared" si="2"/>
        <v>2010</v>
      </c>
      <c r="C32" s="177"/>
      <c r="D32" s="380">
        <v>0.4</v>
      </c>
      <c r="E32" s="381"/>
      <c r="F32" s="380">
        <v>0</v>
      </c>
      <c r="G32" s="52"/>
      <c r="H32" s="380">
        <v>1.5</v>
      </c>
      <c r="I32" s="177"/>
      <c r="J32" s="48">
        <f t="shared" si="0"/>
        <v>1.9059999999999855</v>
      </c>
      <c r="K32" s="177"/>
      <c r="L32" s="33">
        <f t="shared" si="4"/>
        <v>1.4645417872393709</v>
      </c>
      <c r="M32" s="177"/>
    </row>
    <row r="33" spans="1:13">
      <c r="A33" s="177"/>
      <c r="B33" s="177">
        <f t="shared" si="2"/>
        <v>2011</v>
      </c>
      <c r="C33" s="177"/>
      <c r="D33" s="380">
        <v>0</v>
      </c>
      <c r="E33" s="381"/>
      <c r="F33" s="380">
        <v>0</v>
      </c>
      <c r="G33" s="52"/>
      <c r="H33" s="380">
        <v>1.4</v>
      </c>
      <c r="I33" s="177"/>
      <c r="J33" s="48">
        <f t="shared" si="0"/>
        <v>1.4000000000000012</v>
      </c>
      <c r="K33" s="177"/>
      <c r="L33" s="33">
        <f t="shared" si="4"/>
        <v>1.4443212891907011</v>
      </c>
      <c r="M33" s="49"/>
    </row>
    <row r="34" spans="1:13">
      <c r="A34" s="177"/>
      <c r="B34" s="177">
        <f t="shared" si="2"/>
        <v>2012</v>
      </c>
      <c r="C34" s="177"/>
      <c r="D34" s="380">
        <v>-0.82837500000000341</v>
      </c>
      <c r="E34" s="383"/>
      <c r="F34" s="380">
        <v>0</v>
      </c>
      <c r="G34" s="52"/>
      <c r="H34" s="380">
        <v>2.1</v>
      </c>
      <c r="I34" s="39"/>
      <c r="J34" s="48">
        <f t="shared" si="0"/>
        <v>1.2542291249999948</v>
      </c>
      <c r="K34" s="177"/>
      <c r="L34" s="33">
        <f t="shared" si="4"/>
        <v>1.4264305813909886</v>
      </c>
      <c r="M34" s="49"/>
    </row>
    <row r="35" spans="1:13">
      <c r="A35" s="177"/>
      <c r="B35" s="177">
        <f t="shared" si="2"/>
        <v>2013</v>
      </c>
      <c r="C35" s="177"/>
      <c r="D35" s="380">
        <v>1.4457500000000012</v>
      </c>
      <c r="E35" s="383"/>
      <c r="F35" s="380">
        <v>0.2</v>
      </c>
      <c r="G35" s="52"/>
      <c r="H35" s="380">
        <v>0.6</v>
      </c>
      <c r="I35" s="39"/>
      <c r="J35" s="48">
        <f t="shared" si="0"/>
        <v>2.2585333489999915</v>
      </c>
      <c r="K35" s="177"/>
      <c r="L35" s="33">
        <f t="shared" si="4"/>
        <v>1.394925718837271</v>
      </c>
      <c r="M35" s="49"/>
    </row>
    <row r="36" spans="1:13">
      <c r="A36" s="177"/>
      <c r="B36" s="177">
        <f t="shared" si="2"/>
        <v>2014</v>
      </c>
      <c r="C36" s="177"/>
      <c r="D36" s="380">
        <v>5.7863625000000196</v>
      </c>
      <c r="E36" s="383"/>
      <c r="F36" s="380">
        <v>1.4967259120673537</v>
      </c>
      <c r="G36" s="52"/>
      <c r="H36" s="380">
        <v>1.7000000000000002</v>
      </c>
      <c r="I36" s="39"/>
      <c r="J36" s="48">
        <f t="shared" si="0"/>
        <v>9.1949792037535172</v>
      </c>
      <c r="K36" s="177"/>
      <c r="L36" s="33">
        <f t="shared" si="4"/>
        <v>1.2774632396187326</v>
      </c>
      <c r="M36" s="49"/>
    </row>
    <row r="37" spans="1:13">
      <c r="A37" s="177"/>
      <c r="B37" s="177">
        <f t="shared" si="2"/>
        <v>2015</v>
      </c>
      <c r="C37" s="177"/>
      <c r="D37" s="380">
        <v>-0.83826250000000879</v>
      </c>
      <c r="E37" s="383"/>
      <c r="F37" s="380">
        <v>0</v>
      </c>
      <c r="G37" s="52"/>
      <c r="H37" s="380">
        <v>2.2999999999999998</v>
      </c>
      <c r="I37" s="39"/>
      <c r="J37" s="48">
        <f t="shared" si="0"/>
        <v>1.4424574624999797</v>
      </c>
      <c r="K37" s="177"/>
      <c r="L37" s="33">
        <f t="shared" si="4"/>
        <v>1.2592983959314765</v>
      </c>
      <c r="M37" s="177"/>
    </row>
    <row r="38" spans="1:13">
      <c r="A38" s="177"/>
      <c r="B38" s="177">
        <f t="shared" si="2"/>
        <v>2016</v>
      </c>
      <c r="C38" s="177"/>
      <c r="D38" s="380">
        <v>0.26999999999999247</v>
      </c>
      <c r="E38" s="383"/>
      <c r="F38" s="380">
        <v>0</v>
      </c>
      <c r="G38" s="52"/>
      <c r="H38" s="380">
        <v>1</v>
      </c>
      <c r="I38" s="39"/>
      <c r="J38" s="48">
        <f t="shared" si="0"/>
        <v>1.2726999999999933</v>
      </c>
      <c r="K38" s="177"/>
      <c r="L38" s="33">
        <f t="shared" si="4"/>
        <v>1.2434727186413284</v>
      </c>
      <c r="M38" s="177"/>
    </row>
    <row r="39" spans="1:13">
      <c r="A39" s="177"/>
      <c r="B39" s="177">
        <f t="shared" si="2"/>
        <v>2017</v>
      </c>
      <c r="C39" s="177"/>
      <c r="D39" s="380">
        <v>0.46999999999999265</v>
      </c>
      <c r="E39" s="383"/>
      <c r="F39" s="380">
        <v>0</v>
      </c>
      <c r="G39" s="52"/>
      <c r="H39" s="380">
        <v>2.2000000000000002</v>
      </c>
      <c r="I39" s="39"/>
      <c r="J39" s="48">
        <f t="shared" si="0"/>
        <v>2.6803399999999922</v>
      </c>
      <c r="K39" s="177"/>
      <c r="L39" s="33">
        <f t="shared" si="4"/>
        <v>1.2110134409774338</v>
      </c>
      <c r="M39" s="177"/>
    </row>
    <row r="40" spans="1:13">
      <c r="A40" s="177"/>
      <c r="B40" s="177">
        <f t="shared" si="2"/>
        <v>2018</v>
      </c>
      <c r="C40" s="177"/>
      <c r="D40" s="380">
        <v>0.43999999999999595</v>
      </c>
      <c r="E40" s="379"/>
      <c r="F40" s="380">
        <v>0</v>
      </c>
      <c r="G40" s="52"/>
      <c r="H40" s="380">
        <v>2.1999999999999997</v>
      </c>
      <c r="I40" s="39"/>
      <c r="J40" s="48">
        <f t="shared" si="0"/>
        <v>2.6496799999999876</v>
      </c>
      <c r="K40" s="177"/>
      <c r="L40" s="33">
        <f t="shared" si="4"/>
        <v>1.1797537420257267</v>
      </c>
      <c r="M40" s="177"/>
    </row>
    <row r="41" spans="1:13" s="224" customFormat="1">
      <c r="A41" s="225"/>
      <c r="B41" s="225">
        <f t="shared" si="2"/>
        <v>2019</v>
      </c>
      <c r="C41" s="225"/>
      <c r="D41" s="380">
        <v>0.37</v>
      </c>
      <c r="E41" s="379"/>
      <c r="F41" s="380">
        <v>0</v>
      </c>
      <c r="G41" s="52"/>
      <c r="H41" s="380">
        <v>2.4</v>
      </c>
      <c r="I41" s="39"/>
      <c r="J41" s="48">
        <f t="shared" si="0"/>
        <v>2.7788800000000169</v>
      </c>
      <c r="K41" s="225"/>
      <c r="L41" s="33">
        <f t="shared" si="4"/>
        <v>1.1478561957726399</v>
      </c>
      <c r="M41" s="225"/>
    </row>
    <row r="42" spans="1:13">
      <c r="A42" s="177"/>
      <c r="B42" s="252">
        <f t="shared" si="2"/>
        <v>2020</v>
      </c>
      <c r="C42" s="252"/>
      <c r="D42" s="380">
        <v>0.42</v>
      </c>
      <c r="E42" s="379"/>
      <c r="F42" s="380">
        <v>0</v>
      </c>
      <c r="G42" s="52"/>
      <c r="H42" s="380">
        <v>3</v>
      </c>
      <c r="I42" s="39"/>
      <c r="J42" s="48">
        <f t="shared" si="0"/>
        <v>3.4326000000000079</v>
      </c>
      <c r="K42" s="252"/>
      <c r="L42" s="33">
        <f t="shared" si="4"/>
        <v>1.1097624885893227</v>
      </c>
      <c r="M42" s="252"/>
    </row>
    <row r="43" spans="1:13" s="466" customFormat="1">
      <c r="A43" s="252"/>
      <c r="B43" s="252">
        <f t="shared" si="2"/>
        <v>2021</v>
      </c>
      <c r="C43" s="252"/>
      <c r="D43" s="380">
        <v>0.43</v>
      </c>
      <c r="E43" s="379"/>
      <c r="F43" s="380">
        <v>0</v>
      </c>
      <c r="G43" s="52"/>
      <c r="H43" s="380">
        <v>3.7000000000000006</v>
      </c>
      <c r="I43" s="39"/>
      <c r="J43" s="48">
        <f t="shared" si="0"/>
        <v>4.1459099999999971</v>
      </c>
      <c r="K43" s="252"/>
      <c r="L43" s="33">
        <f t="shared" si="4"/>
        <v>1.0655843216400172</v>
      </c>
      <c r="M43" s="252"/>
    </row>
    <row r="44" spans="1:13" s="502" customFormat="1">
      <c r="A44" s="252"/>
      <c r="B44" s="252">
        <f t="shared" si="2"/>
        <v>2022</v>
      </c>
      <c r="C44" s="252"/>
      <c r="D44" s="380">
        <v>1.1000000000000001</v>
      </c>
      <c r="E44" s="379"/>
      <c r="F44" s="380">
        <v>0</v>
      </c>
      <c r="G44" s="52"/>
      <c r="H44" s="380">
        <v>2.9</v>
      </c>
      <c r="I44" s="39"/>
      <c r="J44" s="48">
        <f t="shared" si="0"/>
        <v>4.0318999999999772</v>
      </c>
      <c r="K44" s="252"/>
      <c r="L44" s="33">
        <f t="shared" si="4"/>
        <v>1.0242861291969265</v>
      </c>
      <c r="M44" s="252"/>
    </row>
    <row r="45" spans="1:13" s="294" customFormat="1">
      <c r="A45" s="252"/>
      <c r="B45" s="252">
        <f t="shared" si="2"/>
        <v>2023</v>
      </c>
      <c r="C45" s="252"/>
      <c r="D45" s="380">
        <v>0.4</v>
      </c>
      <c r="E45" s="379"/>
      <c r="F45" s="380">
        <v>0</v>
      </c>
      <c r="G45" s="52"/>
      <c r="H45" s="380">
        <v>1.7000000000000002</v>
      </c>
      <c r="I45" s="39"/>
      <c r="J45" s="48">
        <f t="shared" si="0"/>
        <v>2.1067999999999865</v>
      </c>
      <c r="K45" s="252"/>
      <c r="L45" s="384">
        <f>(1+J46/100)</f>
        <v>1.0031517285792197</v>
      </c>
      <c r="M45" s="252"/>
    </row>
    <row r="46" spans="1:13" s="236" customFormat="1">
      <c r="A46" s="237"/>
      <c r="B46" s="325" t="s">
        <v>528</v>
      </c>
      <c r="C46" s="237"/>
      <c r="D46" s="380">
        <v>6.6555826393299711E-2</v>
      </c>
      <c r="E46" s="379" t="s">
        <v>529</v>
      </c>
      <c r="F46" s="380">
        <v>0</v>
      </c>
      <c r="G46" s="52"/>
      <c r="H46" s="380">
        <v>0.24845167246487776</v>
      </c>
      <c r="I46" s="379" t="s">
        <v>530</v>
      </c>
      <c r="J46" s="48">
        <f t="shared" si="0"/>
        <v>0.3151728579219748</v>
      </c>
      <c r="K46" s="237"/>
      <c r="L46" s="33"/>
      <c r="M46" s="237"/>
    </row>
    <row r="47" spans="1:13">
      <c r="A47" s="177"/>
      <c r="B47" s="177"/>
      <c r="C47" s="177"/>
      <c r="D47" s="226"/>
      <c r="E47" s="177"/>
      <c r="F47" s="177"/>
      <c r="G47" s="177"/>
      <c r="H47" s="177"/>
      <c r="I47" s="177"/>
      <c r="J47" s="177"/>
      <c r="K47" s="177"/>
      <c r="L47" s="177"/>
      <c r="M47" s="179"/>
    </row>
    <row r="48" spans="1:13" ht="54" customHeight="1">
      <c r="A48" s="177"/>
      <c r="B48" s="31" t="s">
        <v>22</v>
      </c>
      <c r="C48" s="521" t="s">
        <v>322</v>
      </c>
      <c r="D48" s="521"/>
      <c r="E48" s="521"/>
      <c r="F48" s="521"/>
      <c r="G48" s="521"/>
      <c r="H48" s="521"/>
      <c r="I48" s="521"/>
      <c r="J48" s="521"/>
      <c r="K48" s="521"/>
      <c r="L48" s="521"/>
      <c r="M48" s="179"/>
    </row>
    <row r="49" spans="1:13" ht="26.1" customHeight="1">
      <c r="A49" s="177"/>
      <c r="B49" s="31" t="s">
        <v>28</v>
      </c>
      <c r="C49" s="521" t="s">
        <v>485</v>
      </c>
      <c r="D49" s="521"/>
      <c r="E49" s="521"/>
      <c r="F49" s="521"/>
      <c r="G49" s="521"/>
      <c r="H49" s="521"/>
      <c r="I49" s="521"/>
      <c r="J49" s="521"/>
      <c r="K49" s="521"/>
      <c r="L49" s="521"/>
      <c r="M49" s="179"/>
    </row>
    <row r="50" spans="1:13" ht="14.45" customHeight="1">
      <c r="A50" s="177"/>
      <c r="B50" s="31" t="s">
        <v>38</v>
      </c>
      <c r="C50" s="521" t="s">
        <v>77</v>
      </c>
      <c r="D50" s="521"/>
      <c r="E50" s="521"/>
      <c r="F50" s="521"/>
      <c r="G50" s="521"/>
      <c r="H50" s="521"/>
      <c r="I50" s="521"/>
      <c r="J50" s="521"/>
      <c r="K50" s="521"/>
      <c r="L50" s="521"/>
      <c r="M50" s="177"/>
    </row>
    <row r="51" spans="1:13" ht="41.45" customHeight="1">
      <c r="A51" s="177"/>
      <c r="B51" s="31" t="s">
        <v>57</v>
      </c>
      <c r="C51" s="521" t="s">
        <v>531</v>
      </c>
      <c r="D51" s="521"/>
      <c r="E51" s="521"/>
      <c r="F51" s="521"/>
      <c r="G51" s="521"/>
      <c r="H51" s="521"/>
      <c r="I51" s="521"/>
      <c r="J51" s="521"/>
      <c r="K51" s="521"/>
      <c r="L51" s="521"/>
      <c r="M51" s="51"/>
    </row>
    <row r="52" spans="1:13" ht="53.25" customHeight="1">
      <c r="A52" s="177"/>
      <c r="B52" s="31" t="s">
        <v>41</v>
      </c>
      <c r="C52" s="521" t="s">
        <v>78</v>
      </c>
      <c r="D52" s="521"/>
      <c r="E52" s="521"/>
      <c r="F52" s="521"/>
      <c r="G52" s="521"/>
      <c r="H52" s="521"/>
      <c r="I52" s="521"/>
      <c r="J52" s="521"/>
      <c r="K52" s="521"/>
      <c r="L52" s="521"/>
      <c r="M52" s="179"/>
    </row>
    <row r="53" spans="1:13" s="359" customFormat="1" ht="12.75" customHeight="1">
      <c r="A53" s="252"/>
      <c r="B53" s="31"/>
      <c r="C53" s="357"/>
      <c r="D53" s="357"/>
      <c r="E53" s="357"/>
      <c r="F53" s="357"/>
      <c r="G53" s="357"/>
      <c r="H53" s="357"/>
      <c r="I53" s="357"/>
      <c r="J53" s="357"/>
      <c r="K53" s="357"/>
      <c r="L53" s="357"/>
      <c r="M53" s="357"/>
    </row>
    <row r="54" spans="1:13" ht="15">
      <c r="B54" s="532" t="s">
        <v>428</v>
      </c>
      <c r="C54" s="533"/>
      <c r="D54" s="533"/>
      <c r="E54" s="533"/>
      <c r="F54" s="533"/>
      <c r="G54" s="533"/>
      <c r="H54" s="533"/>
      <c r="I54" s="534"/>
    </row>
    <row r="55" spans="1:13" ht="25.5">
      <c r="B55" s="385" t="s">
        <v>181</v>
      </c>
      <c r="C55" s="386" t="s">
        <v>429</v>
      </c>
      <c r="D55" s="386" t="s">
        <v>430</v>
      </c>
      <c r="E55" s="386" t="s">
        <v>431</v>
      </c>
      <c r="F55" s="133"/>
      <c r="G55" s="386" t="s">
        <v>429</v>
      </c>
      <c r="H55" s="386" t="s">
        <v>430</v>
      </c>
      <c r="I55" s="387" t="s">
        <v>432</v>
      </c>
    </row>
    <row r="56" spans="1:13">
      <c r="B56" s="125">
        <v>2002</v>
      </c>
      <c r="C56" s="388">
        <v>0.95</v>
      </c>
      <c r="D56" s="388">
        <v>5.0000000000000044E-2</v>
      </c>
      <c r="E56" s="388">
        <v>-0.3992203893047237</v>
      </c>
      <c r="F56" s="359"/>
      <c r="G56" s="388">
        <v>0.95</v>
      </c>
      <c r="H56" s="388">
        <v>5.0000000000000044E-2</v>
      </c>
      <c r="I56" s="389">
        <v>-0.2906970357788945</v>
      </c>
    </row>
    <row r="57" spans="1:13">
      <c r="B57" s="125">
        <v>2003</v>
      </c>
      <c r="C57" s="388">
        <v>0.75</v>
      </c>
      <c r="D57" s="388">
        <v>0.25</v>
      </c>
      <c r="E57" s="388">
        <v>-0.34938214862211059</v>
      </c>
      <c r="F57" s="359"/>
      <c r="G57" s="388">
        <v>0.75</v>
      </c>
      <c r="H57" s="388">
        <v>0.25</v>
      </c>
      <c r="I57" s="389">
        <v>-0.23185613768844215</v>
      </c>
    </row>
    <row r="58" spans="1:13">
      <c r="B58" s="125">
        <v>2004</v>
      </c>
      <c r="C58" s="388">
        <v>0.4</v>
      </c>
      <c r="D58" s="388">
        <v>0.6</v>
      </c>
      <c r="E58" s="388">
        <v>-0.26216522742753778</v>
      </c>
      <c r="F58" s="359"/>
      <c r="G58" s="388">
        <v>0.4</v>
      </c>
      <c r="H58" s="388">
        <v>0.6</v>
      </c>
      <c r="I58" s="389">
        <v>-0.12888456603015075</v>
      </c>
    </row>
    <row r="59" spans="1:13" ht="25.5">
      <c r="B59" s="390" t="s">
        <v>433</v>
      </c>
      <c r="C59" s="391">
        <v>-0.41167994947537695</v>
      </c>
      <c r="D59" s="391">
        <v>-0.16248874606231156</v>
      </c>
      <c r="E59" s="358"/>
      <c r="F59" s="358"/>
      <c r="G59" s="391">
        <v>-0.30540726030150755</v>
      </c>
      <c r="H59" s="391">
        <v>-1.1202769849246175E-2</v>
      </c>
      <c r="I59" s="392"/>
    </row>
  </sheetData>
  <mergeCells count="7">
    <mergeCell ref="B54:I54"/>
    <mergeCell ref="C51:L51"/>
    <mergeCell ref="C52:L52"/>
    <mergeCell ref="A1:M1"/>
    <mergeCell ref="C48:L48"/>
    <mergeCell ref="C49:L49"/>
    <mergeCell ref="C50:L50"/>
  </mergeCells>
  <pageMargins left="0.5" right="0.5" top="0.75" bottom="0.75" header="0.33" footer="0.33"/>
  <pageSetup scale="88" orientation="portrait" blackAndWhite="1" horizontalDpi="1200" verticalDpi="1200" r:id="rId1"/>
  <headerFooter scaleWithDoc="0">
    <oddHeader>&amp;R&amp;"Arial,Regular"&amp;10Exhibit 4.1</oddHeader>
  </headerFooter>
  <ignoredErrors>
    <ignoredError sqref="D2:I2 D3:I3 K3 K2:L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34"/>
  <sheetViews>
    <sheetView zoomScaleNormal="100" workbookViewId="0"/>
  </sheetViews>
  <sheetFormatPr defaultColWidth="9.140625" defaultRowHeight="12.75"/>
  <cols>
    <col min="1" max="1" width="14" style="108" customWidth="1"/>
    <col min="2" max="17" width="7.7109375" style="108" customWidth="1"/>
    <col min="18" max="16384" width="9.140625" style="108"/>
  </cols>
  <sheetData>
    <row r="1" spans="1:17" ht="13.15" customHeight="1">
      <c r="A1" s="240" t="s">
        <v>17</v>
      </c>
      <c r="B1" s="240"/>
      <c r="C1" s="240"/>
      <c r="D1" s="240"/>
      <c r="E1" s="240"/>
      <c r="F1" s="240"/>
      <c r="G1" s="240"/>
      <c r="H1" s="240"/>
      <c r="I1" s="240"/>
      <c r="J1" s="240"/>
      <c r="K1" s="240"/>
      <c r="L1" s="240"/>
      <c r="M1" s="240"/>
      <c r="N1" s="240"/>
      <c r="O1" s="240"/>
      <c r="P1" s="240"/>
      <c r="Q1" s="240"/>
    </row>
    <row r="2" spans="1:17" ht="13.15" customHeight="1">
      <c r="A2" s="118"/>
      <c r="B2" s="118"/>
      <c r="C2" s="118"/>
      <c r="D2" s="118"/>
      <c r="E2" s="118"/>
      <c r="F2" s="118"/>
      <c r="G2" s="118"/>
      <c r="H2" s="118"/>
      <c r="I2" s="118"/>
      <c r="J2" s="118"/>
      <c r="K2" s="118"/>
      <c r="L2" s="118"/>
      <c r="M2" s="118"/>
      <c r="N2" s="118"/>
      <c r="O2" s="118"/>
      <c r="P2" s="120"/>
    </row>
    <row r="3" spans="1:17" ht="13.15" customHeight="1">
      <c r="A3" s="120"/>
      <c r="B3" s="241" t="s">
        <v>18</v>
      </c>
      <c r="C3" s="241"/>
      <c r="D3" s="241"/>
      <c r="E3" s="241"/>
      <c r="F3" s="241"/>
      <c r="G3" s="241"/>
      <c r="H3" s="241"/>
      <c r="I3" s="241"/>
      <c r="J3" s="241"/>
      <c r="K3" s="241"/>
      <c r="L3" s="241"/>
      <c r="M3" s="241"/>
      <c r="N3" s="241"/>
      <c r="O3" s="241"/>
      <c r="P3" s="241"/>
      <c r="Q3" s="241"/>
    </row>
    <row r="4" spans="1:17" ht="13.15" customHeight="1">
      <c r="A4" s="11" t="s">
        <v>19</v>
      </c>
      <c r="B4" s="11" t="s">
        <v>445</v>
      </c>
      <c r="C4" s="11" t="s">
        <v>446</v>
      </c>
      <c r="D4" s="11" t="s">
        <v>447</v>
      </c>
      <c r="E4" s="11" t="s">
        <v>448</v>
      </c>
      <c r="F4" s="11" t="s">
        <v>449</v>
      </c>
      <c r="G4" s="11" t="s">
        <v>450</v>
      </c>
      <c r="H4" s="11" t="s">
        <v>451</v>
      </c>
      <c r="I4" s="11" t="s">
        <v>452</v>
      </c>
      <c r="J4" s="11" t="s">
        <v>453</v>
      </c>
      <c r="K4" s="11" t="s">
        <v>454</v>
      </c>
      <c r="L4" s="11" t="s">
        <v>455</v>
      </c>
      <c r="M4" s="11" t="s">
        <v>456</v>
      </c>
      <c r="N4" s="11" t="s">
        <v>457</v>
      </c>
      <c r="O4" s="11" t="s">
        <v>458</v>
      </c>
      <c r="P4" s="11" t="s">
        <v>459</v>
      </c>
      <c r="Q4" s="11" t="s">
        <v>460</v>
      </c>
    </row>
    <row r="5" spans="1:17" ht="13.15" customHeight="1">
      <c r="A5" s="12">
        <f t="shared" ref="A5:A28" si="0">+A6-1</f>
        <v>1996</v>
      </c>
      <c r="B5" s="362" t="s">
        <v>34</v>
      </c>
      <c r="C5" s="362" t="s">
        <v>34</v>
      </c>
      <c r="D5" s="362" t="s">
        <v>34</v>
      </c>
      <c r="E5" s="362" t="s">
        <v>34</v>
      </c>
      <c r="F5" s="362" t="s">
        <v>34</v>
      </c>
      <c r="G5" s="362" t="s">
        <v>34</v>
      </c>
      <c r="H5" s="362" t="s">
        <v>34</v>
      </c>
      <c r="I5" s="362" t="s">
        <v>34</v>
      </c>
      <c r="J5" s="362" t="s">
        <v>34</v>
      </c>
      <c r="K5" s="362" t="s">
        <v>34</v>
      </c>
      <c r="L5" s="362" t="s">
        <v>34</v>
      </c>
      <c r="M5" s="362">
        <v>1</v>
      </c>
      <c r="N5" s="362">
        <v>1</v>
      </c>
      <c r="O5" s="362">
        <v>1</v>
      </c>
      <c r="P5" s="362">
        <v>1.0009999999999999</v>
      </c>
      <c r="Q5" s="362">
        <v>1.002</v>
      </c>
    </row>
    <row r="6" spans="1:17" ht="13.15" customHeight="1">
      <c r="A6" s="12">
        <f t="shared" si="0"/>
        <v>1997</v>
      </c>
      <c r="B6" s="362" t="s">
        <v>34</v>
      </c>
      <c r="C6" s="362" t="s">
        <v>34</v>
      </c>
      <c r="D6" s="362" t="s">
        <v>34</v>
      </c>
      <c r="E6" s="362" t="s">
        <v>34</v>
      </c>
      <c r="F6" s="362" t="s">
        <v>34</v>
      </c>
      <c r="G6" s="362" t="s">
        <v>34</v>
      </c>
      <c r="H6" s="362" t="s">
        <v>34</v>
      </c>
      <c r="I6" s="362" t="s">
        <v>34</v>
      </c>
      <c r="J6" s="362" t="s">
        <v>34</v>
      </c>
      <c r="K6" s="362" t="s">
        <v>34</v>
      </c>
      <c r="L6" s="362">
        <v>1.002</v>
      </c>
      <c r="M6" s="362">
        <v>1.002</v>
      </c>
      <c r="N6" s="362">
        <v>1.0029999999999999</v>
      </c>
      <c r="O6" s="362">
        <v>1.002</v>
      </c>
      <c r="P6" s="362">
        <v>1.0009999999999999</v>
      </c>
      <c r="Q6" s="362">
        <v>1.0009999999999999</v>
      </c>
    </row>
    <row r="7" spans="1:17" ht="13.15" customHeight="1">
      <c r="A7" s="12">
        <f t="shared" si="0"/>
        <v>1998</v>
      </c>
      <c r="B7" s="362" t="s">
        <v>34</v>
      </c>
      <c r="C7" s="362" t="s">
        <v>34</v>
      </c>
      <c r="D7" s="362" t="s">
        <v>34</v>
      </c>
      <c r="E7" s="362" t="s">
        <v>34</v>
      </c>
      <c r="F7" s="362" t="s">
        <v>34</v>
      </c>
      <c r="G7" s="362" t="s">
        <v>34</v>
      </c>
      <c r="H7" s="362" t="s">
        <v>34</v>
      </c>
      <c r="I7" s="362" t="s">
        <v>34</v>
      </c>
      <c r="J7" s="362" t="s">
        <v>34</v>
      </c>
      <c r="K7" s="362">
        <v>1.004</v>
      </c>
      <c r="L7" s="362">
        <v>1.002</v>
      </c>
      <c r="M7" s="362">
        <v>1.0029999999999999</v>
      </c>
      <c r="N7" s="362">
        <v>1.004</v>
      </c>
      <c r="O7" s="362">
        <v>1.0009999999999999</v>
      </c>
      <c r="P7" s="362">
        <v>1.002</v>
      </c>
      <c r="Q7" s="362">
        <v>1.0009999999999999</v>
      </c>
    </row>
    <row r="8" spans="1:17" ht="13.15" customHeight="1">
      <c r="A8" s="12">
        <f t="shared" si="0"/>
        <v>1999</v>
      </c>
      <c r="B8" s="362" t="s">
        <v>34</v>
      </c>
      <c r="C8" s="362" t="s">
        <v>34</v>
      </c>
      <c r="D8" s="362" t="s">
        <v>34</v>
      </c>
      <c r="E8" s="362" t="s">
        <v>34</v>
      </c>
      <c r="F8" s="362" t="s">
        <v>34</v>
      </c>
      <c r="G8" s="362" t="s">
        <v>34</v>
      </c>
      <c r="H8" s="362" t="s">
        <v>34</v>
      </c>
      <c r="I8" s="362" t="s">
        <v>34</v>
      </c>
      <c r="J8" s="362">
        <v>1.0069999999999999</v>
      </c>
      <c r="K8" s="362">
        <v>1.004</v>
      </c>
      <c r="L8" s="362">
        <v>1.002</v>
      </c>
      <c r="M8" s="362">
        <v>1.0029999999999999</v>
      </c>
      <c r="N8" s="362">
        <v>1.0029999999999999</v>
      </c>
      <c r="O8" s="362">
        <v>1.002</v>
      </c>
      <c r="P8" s="362">
        <v>1.002</v>
      </c>
      <c r="Q8" s="362">
        <v>1.0009999999999999</v>
      </c>
    </row>
    <row r="9" spans="1:17" ht="13.15" customHeight="1">
      <c r="A9" s="12">
        <f t="shared" si="0"/>
        <v>2000</v>
      </c>
      <c r="B9" s="362" t="s">
        <v>34</v>
      </c>
      <c r="C9" s="362" t="s">
        <v>34</v>
      </c>
      <c r="D9" s="362" t="s">
        <v>34</v>
      </c>
      <c r="E9" s="362" t="s">
        <v>34</v>
      </c>
      <c r="F9" s="362" t="s">
        <v>34</v>
      </c>
      <c r="G9" s="362" t="s">
        <v>34</v>
      </c>
      <c r="H9" s="362" t="s">
        <v>34</v>
      </c>
      <c r="I9" s="362">
        <v>1.008</v>
      </c>
      <c r="J9" s="362">
        <v>1.004</v>
      </c>
      <c r="K9" s="362">
        <v>1.004</v>
      </c>
      <c r="L9" s="362">
        <v>1.0049999999999999</v>
      </c>
      <c r="M9" s="362">
        <v>1.0029999999999999</v>
      </c>
      <c r="N9" s="362">
        <v>1.0009999999999999</v>
      </c>
      <c r="O9" s="362">
        <v>1.004</v>
      </c>
      <c r="P9" s="362">
        <v>1.002</v>
      </c>
      <c r="Q9" s="362">
        <v>1</v>
      </c>
    </row>
    <row r="10" spans="1:17" ht="13.15" customHeight="1">
      <c r="A10" s="12">
        <f t="shared" si="0"/>
        <v>2001</v>
      </c>
      <c r="B10" s="362" t="s">
        <v>34</v>
      </c>
      <c r="C10" s="362" t="s">
        <v>34</v>
      </c>
      <c r="D10" s="362" t="s">
        <v>34</v>
      </c>
      <c r="E10" s="362" t="s">
        <v>34</v>
      </c>
      <c r="F10" s="362" t="s">
        <v>34</v>
      </c>
      <c r="G10" s="362" t="s">
        <v>34</v>
      </c>
      <c r="H10" s="362">
        <v>1.014</v>
      </c>
      <c r="I10" s="362">
        <v>1.0089999999999999</v>
      </c>
      <c r="J10" s="362">
        <v>1.006</v>
      </c>
      <c r="K10" s="362">
        <v>1.0069999999999999</v>
      </c>
      <c r="L10" s="362">
        <v>1.006</v>
      </c>
      <c r="M10" s="362">
        <v>1.0049999999999999</v>
      </c>
      <c r="N10" s="362">
        <v>1.0029999999999999</v>
      </c>
      <c r="O10" s="362">
        <v>1.002</v>
      </c>
      <c r="P10" s="362">
        <v>1.0009999999999999</v>
      </c>
      <c r="Q10" s="362">
        <v>1.0009999999999999</v>
      </c>
    </row>
    <row r="11" spans="1:17" ht="13.15" customHeight="1">
      <c r="A11" s="12">
        <f t="shared" si="0"/>
        <v>2002</v>
      </c>
      <c r="B11" s="362" t="s">
        <v>34</v>
      </c>
      <c r="C11" s="362" t="s">
        <v>34</v>
      </c>
      <c r="D11" s="362" t="s">
        <v>34</v>
      </c>
      <c r="E11" s="362" t="s">
        <v>34</v>
      </c>
      <c r="F11" s="362" t="s">
        <v>34</v>
      </c>
      <c r="G11" s="362">
        <v>1.018</v>
      </c>
      <c r="H11" s="362">
        <v>1.0109999999999999</v>
      </c>
      <c r="I11" s="362">
        <v>1.01</v>
      </c>
      <c r="J11" s="362">
        <v>1.01</v>
      </c>
      <c r="K11" s="362">
        <v>1.0069999999999999</v>
      </c>
      <c r="L11" s="362">
        <v>1.0049999999999999</v>
      </c>
      <c r="M11" s="362">
        <v>1.0029999999999999</v>
      </c>
      <c r="N11" s="362">
        <v>1.002</v>
      </c>
      <c r="O11" s="362">
        <v>1.002</v>
      </c>
      <c r="P11" s="362">
        <v>1.0029999999999999</v>
      </c>
      <c r="Q11" s="362">
        <v>1.002</v>
      </c>
    </row>
    <row r="12" spans="1:17" ht="13.15" customHeight="1">
      <c r="A12" s="12">
        <f t="shared" si="0"/>
        <v>2003</v>
      </c>
      <c r="B12" s="362" t="s">
        <v>34</v>
      </c>
      <c r="C12" s="362" t="s">
        <v>34</v>
      </c>
      <c r="D12" s="362" t="s">
        <v>34</v>
      </c>
      <c r="E12" s="362" t="s">
        <v>34</v>
      </c>
      <c r="F12" s="362">
        <v>1.0329999999999999</v>
      </c>
      <c r="G12" s="362">
        <v>1.0209999999999999</v>
      </c>
      <c r="H12" s="362">
        <v>1.018</v>
      </c>
      <c r="I12" s="362">
        <v>1.0149999999999999</v>
      </c>
      <c r="J12" s="362">
        <v>1.0149999999999999</v>
      </c>
      <c r="K12" s="362">
        <v>1.0089999999999999</v>
      </c>
      <c r="L12" s="362">
        <v>1.006</v>
      </c>
      <c r="M12" s="362">
        <v>1.004</v>
      </c>
      <c r="N12" s="362">
        <v>1.0029999999999999</v>
      </c>
      <c r="O12" s="362">
        <v>1.002</v>
      </c>
      <c r="P12" s="362">
        <v>1.002</v>
      </c>
      <c r="Q12" s="362">
        <v>1.004</v>
      </c>
    </row>
    <row r="13" spans="1:17" ht="13.15" customHeight="1">
      <c r="A13" s="12">
        <f t="shared" si="0"/>
        <v>2004</v>
      </c>
      <c r="B13" s="362" t="s">
        <v>34</v>
      </c>
      <c r="C13" s="362" t="s">
        <v>34</v>
      </c>
      <c r="D13" s="362" t="s">
        <v>34</v>
      </c>
      <c r="E13" s="362">
        <v>1.042</v>
      </c>
      <c r="F13" s="362">
        <v>1.0409999999999999</v>
      </c>
      <c r="G13" s="362">
        <v>1.026</v>
      </c>
      <c r="H13" s="362">
        <v>1.028</v>
      </c>
      <c r="I13" s="362">
        <v>1.018</v>
      </c>
      <c r="J13" s="362">
        <v>1.014</v>
      </c>
      <c r="K13" s="362">
        <v>1.0069999999999999</v>
      </c>
      <c r="L13" s="362">
        <v>1.0069999999999999</v>
      </c>
      <c r="M13" s="362">
        <v>1.0029999999999999</v>
      </c>
      <c r="N13" s="362">
        <v>1.0009999999999999</v>
      </c>
      <c r="O13" s="362">
        <v>1.002</v>
      </c>
      <c r="P13" s="362">
        <v>1.006</v>
      </c>
      <c r="Q13" s="362">
        <v>1.0009999999999999</v>
      </c>
    </row>
    <row r="14" spans="1:17" ht="13.15" customHeight="1">
      <c r="A14" s="12">
        <f t="shared" si="0"/>
        <v>2005</v>
      </c>
      <c r="B14" s="362" t="s">
        <v>34</v>
      </c>
      <c r="C14" s="362" t="s">
        <v>34</v>
      </c>
      <c r="D14" s="362">
        <v>1.0980000000000001</v>
      </c>
      <c r="E14" s="362">
        <v>1.0680000000000001</v>
      </c>
      <c r="F14" s="362">
        <v>1.0529999999999999</v>
      </c>
      <c r="G14" s="362">
        <v>1.04</v>
      </c>
      <c r="H14" s="362">
        <v>1.028</v>
      </c>
      <c r="I14" s="362">
        <v>1.016</v>
      </c>
      <c r="J14" s="362">
        <v>1.012</v>
      </c>
      <c r="K14" s="362">
        <v>1.006</v>
      </c>
      <c r="L14" s="362">
        <v>1.0049999999999999</v>
      </c>
      <c r="M14" s="362">
        <v>1.006</v>
      </c>
      <c r="N14" s="362">
        <v>1.0029999999999999</v>
      </c>
      <c r="O14" s="362">
        <v>1.004</v>
      </c>
      <c r="P14" s="362">
        <v>1.004</v>
      </c>
      <c r="Q14" s="362">
        <v>1.002</v>
      </c>
    </row>
    <row r="15" spans="1:17" ht="13.15" customHeight="1">
      <c r="A15" s="12">
        <f t="shared" si="0"/>
        <v>2006</v>
      </c>
      <c r="B15" s="362" t="s">
        <v>34</v>
      </c>
      <c r="C15" s="362">
        <v>1.2470000000000001</v>
      </c>
      <c r="D15" s="362">
        <v>1.111</v>
      </c>
      <c r="E15" s="362">
        <v>1.08</v>
      </c>
      <c r="F15" s="362">
        <v>1.0529999999999999</v>
      </c>
      <c r="G15" s="362">
        <v>1.0349999999999999</v>
      </c>
      <c r="H15" s="362">
        <v>1.0229999999999999</v>
      </c>
      <c r="I15" s="362">
        <v>1.0149999999999999</v>
      </c>
      <c r="J15" s="362">
        <v>1.0089999999999999</v>
      </c>
      <c r="K15" s="362">
        <v>1.0069999999999999</v>
      </c>
      <c r="L15" s="362">
        <v>1.004</v>
      </c>
      <c r="M15" s="362">
        <v>1.0049999999999999</v>
      </c>
      <c r="N15" s="362">
        <v>1.002</v>
      </c>
      <c r="O15" s="362">
        <v>1.0049999999999999</v>
      </c>
      <c r="P15" s="362">
        <v>1.0009999999999999</v>
      </c>
      <c r="Q15" s="362" t="s">
        <v>34</v>
      </c>
    </row>
    <row r="16" spans="1:17" ht="13.15" customHeight="1">
      <c r="A16" s="12">
        <f t="shared" si="0"/>
        <v>2007</v>
      </c>
      <c r="B16" s="362">
        <v>1.784</v>
      </c>
      <c r="C16" s="362">
        <v>1.2729999999999999</v>
      </c>
      <c r="D16" s="362">
        <v>1.1200000000000001</v>
      </c>
      <c r="E16" s="362">
        <v>1.07</v>
      </c>
      <c r="F16" s="362">
        <v>1.0489999999999999</v>
      </c>
      <c r="G16" s="362">
        <v>1.0369999999999999</v>
      </c>
      <c r="H16" s="362">
        <v>1.022</v>
      </c>
      <c r="I16" s="362">
        <v>1.012</v>
      </c>
      <c r="J16" s="362">
        <v>1.0109999999999999</v>
      </c>
      <c r="K16" s="362">
        <v>1.0049999999999999</v>
      </c>
      <c r="L16" s="362">
        <v>1.0069999999999999</v>
      </c>
      <c r="M16" s="362">
        <v>1.01</v>
      </c>
      <c r="N16" s="362">
        <v>1.0009999999999999</v>
      </c>
      <c r="O16" s="362">
        <v>1.0029999999999999</v>
      </c>
      <c r="P16" s="362" t="s">
        <v>34</v>
      </c>
      <c r="Q16" s="362" t="s">
        <v>34</v>
      </c>
    </row>
    <row r="17" spans="1:17" ht="13.15" customHeight="1">
      <c r="A17" s="12">
        <f t="shared" si="0"/>
        <v>2008</v>
      </c>
      <c r="B17" s="362">
        <v>1.8580000000000001</v>
      </c>
      <c r="C17" s="362">
        <v>1.302</v>
      </c>
      <c r="D17" s="362">
        <v>1.1359999999999999</v>
      </c>
      <c r="E17" s="362">
        <v>1.0740000000000001</v>
      </c>
      <c r="F17" s="362">
        <v>1.0449999999999999</v>
      </c>
      <c r="G17" s="362">
        <v>1.03</v>
      </c>
      <c r="H17" s="362">
        <v>1.0189999999999999</v>
      </c>
      <c r="I17" s="362">
        <v>1.012</v>
      </c>
      <c r="J17" s="362">
        <v>1.0089999999999999</v>
      </c>
      <c r="K17" s="362">
        <v>1.006</v>
      </c>
      <c r="L17" s="362">
        <v>1.0069999999999999</v>
      </c>
      <c r="M17" s="362">
        <v>1.006</v>
      </c>
      <c r="N17" s="362">
        <v>1.0049999999999999</v>
      </c>
      <c r="O17" s="362" t="s">
        <v>34</v>
      </c>
      <c r="P17" s="362" t="s">
        <v>34</v>
      </c>
      <c r="Q17" s="362" t="s">
        <v>34</v>
      </c>
    </row>
    <row r="18" spans="1:17" ht="13.15" customHeight="1">
      <c r="A18" s="12">
        <f t="shared" si="0"/>
        <v>2009</v>
      </c>
      <c r="B18" s="362">
        <v>1.9830000000000001</v>
      </c>
      <c r="C18" s="362">
        <v>1.2929999999999999</v>
      </c>
      <c r="D18" s="362">
        <v>1.1419999999999999</v>
      </c>
      <c r="E18" s="362">
        <v>1.0760000000000001</v>
      </c>
      <c r="F18" s="362">
        <v>1.048</v>
      </c>
      <c r="G18" s="362">
        <v>1.024</v>
      </c>
      <c r="H18" s="362">
        <v>1.0189999999999999</v>
      </c>
      <c r="I18" s="362">
        <v>1.014</v>
      </c>
      <c r="J18" s="362">
        <v>1.0089999999999999</v>
      </c>
      <c r="K18" s="362">
        <v>1.01</v>
      </c>
      <c r="L18" s="362">
        <v>1.0049999999999999</v>
      </c>
      <c r="M18" s="362">
        <v>1.008</v>
      </c>
      <c r="N18" s="362" t="s">
        <v>34</v>
      </c>
      <c r="O18" s="362" t="s">
        <v>34</v>
      </c>
      <c r="P18" s="362" t="s">
        <v>34</v>
      </c>
      <c r="Q18" s="362" t="s">
        <v>34</v>
      </c>
    </row>
    <row r="19" spans="1:17" ht="13.15" customHeight="1">
      <c r="A19" s="12">
        <f t="shared" si="0"/>
        <v>2010</v>
      </c>
      <c r="B19" s="362">
        <v>1.994</v>
      </c>
      <c r="C19" s="362">
        <v>1.3149999999999999</v>
      </c>
      <c r="D19" s="362">
        <v>1.131</v>
      </c>
      <c r="E19" s="362">
        <v>1.069</v>
      </c>
      <c r="F19" s="362">
        <v>1.0449999999999999</v>
      </c>
      <c r="G19" s="362">
        <v>1.026</v>
      </c>
      <c r="H19" s="362">
        <v>1.016</v>
      </c>
      <c r="I19" s="362">
        <v>1.012</v>
      </c>
      <c r="J19" s="362">
        <v>1.012</v>
      </c>
      <c r="K19" s="362">
        <v>1.006</v>
      </c>
      <c r="L19" s="362">
        <v>1.004</v>
      </c>
      <c r="M19" s="362" t="s">
        <v>34</v>
      </c>
      <c r="N19" s="362" t="s">
        <v>34</v>
      </c>
      <c r="O19" s="362" t="s">
        <v>34</v>
      </c>
      <c r="P19" s="362" t="s">
        <v>34</v>
      </c>
      <c r="Q19" s="362" t="s">
        <v>34</v>
      </c>
    </row>
    <row r="20" spans="1:17" ht="13.15" customHeight="1">
      <c r="A20" s="12">
        <f t="shared" si="0"/>
        <v>2011</v>
      </c>
      <c r="B20" s="362">
        <v>1.9970000000000001</v>
      </c>
      <c r="C20" s="362">
        <v>1.2769999999999999</v>
      </c>
      <c r="D20" s="362">
        <v>1.133</v>
      </c>
      <c r="E20" s="362">
        <v>1.0609999999999999</v>
      </c>
      <c r="F20" s="362">
        <v>1.0369999999999999</v>
      </c>
      <c r="G20" s="362">
        <v>1.022</v>
      </c>
      <c r="H20" s="362">
        <v>1.0189999999999999</v>
      </c>
      <c r="I20" s="362">
        <v>1.0109999999999999</v>
      </c>
      <c r="J20" s="362">
        <v>1.008</v>
      </c>
      <c r="K20" s="362">
        <v>1.0069999999999999</v>
      </c>
      <c r="L20" s="362" t="s">
        <v>34</v>
      </c>
      <c r="M20" s="362" t="s">
        <v>34</v>
      </c>
      <c r="N20" s="362" t="s">
        <v>34</v>
      </c>
      <c r="O20" s="362" t="s">
        <v>34</v>
      </c>
      <c r="P20" s="362" t="s">
        <v>34</v>
      </c>
      <c r="Q20" s="362" t="s">
        <v>34</v>
      </c>
    </row>
    <row r="21" spans="1:17" ht="13.15" customHeight="1">
      <c r="A21" s="12">
        <f t="shared" si="0"/>
        <v>2012</v>
      </c>
      <c r="B21" s="362">
        <v>1.992</v>
      </c>
      <c r="C21" s="362">
        <v>1.2789999999999999</v>
      </c>
      <c r="D21" s="362">
        <v>1.113</v>
      </c>
      <c r="E21" s="362">
        <v>1.0629999999999999</v>
      </c>
      <c r="F21" s="362">
        <v>1.0409999999999999</v>
      </c>
      <c r="G21" s="362">
        <v>1.0229999999999999</v>
      </c>
      <c r="H21" s="362">
        <v>1.016</v>
      </c>
      <c r="I21" s="362">
        <v>1.0129999999999999</v>
      </c>
      <c r="J21" s="362">
        <v>1.0069999999999999</v>
      </c>
      <c r="K21" s="362" t="s">
        <v>34</v>
      </c>
      <c r="L21" s="362" t="s">
        <v>34</v>
      </c>
      <c r="M21" s="362" t="s">
        <v>34</v>
      </c>
      <c r="N21" s="362" t="s">
        <v>34</v>
      </c>
      <c r="O21" s="362" t="s">
        <v>34</v>
      </c>
      <c r="P21" s="362" t="s">
        <v>34</v>
      </c>
      <c r="Q21" s="362" t="s">
        <v>34</v>
      </c>
    </row>
    <row r="22" spans="1:17" ht="13.15" customHeight="1">
      <c r="A22" s="12">
        <f t="shared" si="0"/>
        <v>2013</v>
      </c>
      <c r="B22" s="362">
        <v>1.931</v>
      </c>
      <c r="C22" s="362">
        <v>1.2589999999999999</v>
      </c>
      <c r="D22" s="362">
        <v>1.111</v>
      </c>
      <c r="E22" s="362">
        <v>1.0549999999999999</v>
      </c>
      <c r="F22" s="362">
        <v>1.032</v>
      </c>
      <c r="G22" s="362">
        <v>1.02</v>
      </c>
      <c r="H22" s="362">
        <v>1.0129999999999999</v>
      </c>
      <c r="I22" s="362">
        <v>1.0069999999999999</v>
      </c>
      <c r="J22" s="362" t="s">
        <v>34</v>
      </c>
      <c r="K22" s="362" t="s">
        <v>34</v>
      </c>
      <c r="L22" s="362" t="s">
        <v>34</v>
      </c>
      <c r="M22" s="362" t="s">
        <v>34</v>
      </c>
      <c r="N22" s="362" t="s">
        <v>34</v>
      </c>
      <c r="O22" s="362" t="s">
        <v>34</v>
      </c>
      <c r="P22" s="362" t="s">
        <v>34</v>
      </c>
      <c r="Q22" s="362" t="s">
        <v>34</v>
      </c>
    </row>
    <row r="23" spans="1:17" ht="13.15" customHeight="1">
      <c r="A23" s="12">
        <f t="shared" si="0"/>
        <v>2014</v>
      </c>
      <c r="B23" s="362">
        <v>1.96</v>
      </c>
      <c r="C23" s="362">
        <v>1.278</v>
      </c>
      <c r="D23" s="362">
        <v>1.115</v>
      </c>
      <c r="E23" s="362">
        <v>1.0589999999999999</v>
      </c>
      <c r="F23" s="362">
        <v>1.0289999999999999</v>
      </c>
      <c r="G23" s="362">
        <v>1.016</v>
      </c>
      <c r="H23" s="362">
        <v>1.0109999999999999</v>
      </c>
      <c r="I23" s="362" t="s">
        <v>34</v>
      </c>
      <c r="J23" s="362" t="s">
        <v>34</v>
      </c>
      <c r="K23" s="362" t="s">
        <v>34</v>
      </c>
      <c r="L23" s="362" t="s">
        <v>34</v>
      </c>
      <c r="M23" s="362" t="s">
        <v>34</v>
      </c>
      <c r="N23" s="362" t="s">
        <v>34</v>
      </c>
      <c r="O23" s="362" t="s">
        <v>34</v>
      </c>
      <c r="P23" s="362" t="s">
        <v>34</v>
      </c>
      <c r="Q23" s="362" t="s">
        <v>34</v>
      </c>
    </row>
    <row r="24" spans="1:17" ht="13.15" customHeight="1">
      <c r="A24" s="12">
        <f t="shared" si="0"/>
        <v>2015</v>
      </c>
      <c r="B24" s="362">
        <v>1.9690000000000001</v>
      </c>
      <c r="C24" s="362">
        <v>1.26</v>
      </c>
      <c r="D24" s="362">
        <v>1.101</v>
      </c>
      <c r="E24" s="362">
        <v>1.0469999999999999</v>
      </c>
      <c r="F24" s="362">
        <v>1.0269999999999999</v>
      </c>
      <c r="G24" s="362">
        <v>1.0169999999999999</v>
      </c>
      <c r="H24" s="362" t="s">
        <v>34</v>
      </c>
      <c r="I24" s="362" t="s">
        <v>34</v>
      </c>
      <c r="J24" s="362" t="s">
        <v>34</v>
      </c>
      <c r="K24" s="362" t="s">
        <v>34</v>
      </c>
      <c r="L24" s="362" t="s">
        <v>34</v>
      </c>
      <c r="M24" s="362" t="s">
        <v>34</v>
      </c>
      <c r="N24" s="362" t="s">
        <v>34</v>
      </c>
      <c r="O24" s="362" t="s">
        <v>34</v>
      </c>
      <c r="P24" s="362" t="s">
        <v>34</v>
      </c>
      <c r="Q24" s="362" t="s">
        <v>34</v>
      </c>
    </row>
    <row r="25" spans="1:17" ht="13.15" customHeight="1">
      <c r="A25" s="12">
        <f t="shared" si="0"/>
        <v>2016</v>
      </c>
      <c r="B25" s="362">
        <v>1.9410000000000001</v>
      </c>
      <c r="C25" s="362">
        <v>1.246</v>
      </c>
      <c r="D25" s="362">
        <v>1.095</v>
      </c>
      <c r="E25" s="362">
        <v>1.046</v>
      </c>
      <c r="F25" s="362">
        <v>1.026</v>
      </c>
      <c r="G25" s="362" t="s">
        <v>34</v>
      </c>
      <c r="H25" s="362" t="s">
        <v>34</v>
      </c>
      <c r="I25" s="362" t="s">
        <v>34</v>
      </c>
      <c r="J25" s="362" t="s">
        <v>34</v>
      </c>
      <c r="K25" s="362" t="s">
        <v>34</v>
      </c>
      <c r="L25" s="362" t="s">
        <v>34</v>
      </c>
      <c r="M25" s="362" t="s">
        <v>34</v>
      </c>
      <c r="N25" s="362" t="s">
        <v>34</v>
      </c>
      <c r="O25" s="362" t="s">
        <v>34</v>
      </c>
      <c r="P25" s="362" t="s">
        <v>34</v>
      </c>
      <c r="Q25" s="362" t="s">
        <v>34</v>
      </c>
    </row>
    <row r="26" spans="1:17" ht="13.15" customHeight="1">
      <c r="A26" s="12">
        <f t="shared" si="0"/>
        <v>2017</v>
      </c>
      <c r="B26" s="362">
        <v>1.911</v>
      </c>
      <c r="C26" s="362">
        <v>1.2410000000000001</v>
      </c>
      <c r="D26" s="362">
        <v>1.0880000000000001</v>
      </c>
      <c r="E26" s="362">
        <v>1.0429999999999999</v>
      </c>
      <c r="F26" s="362" t="s">
        <v>34</v>
      </c>
      <c r="G26" s="362" t="s">
        <v>34</v>
      </c>
      <c r="H26" s="362" t="s">
        <v>34</v>
      </c>
      <c r="I26" s="362" t="s">
        <v>34</v>
      </c>
      <c r="J26" s="362" t="s">
        <v>34</v>
      </c>
      <c r="K26" s="362" t="s">
        <v>34</v>
      </c>
      <c r="L26" s="362" t="s">
        <v>34</v>
      </c>
      <c r="M26" s="362" t="s">
        <v>34</v>
      </c>
      <c r="N26" s="362" t="s">
        <v>34</v>
      </c>
      <c r="O26" s="362" t="s">
        <v>34</v>
      </c>
      <c r="P26" s="362" t="s">
        <v>34</v>
      </c>
      <c r="Q26" s="362" t="s">
        <v>34</v>
      </c>
    </row>
    <row r="27" spans="1:17" ht="13.15" customHeight="1">
      <c r="A27" s="12">
        <f t="shared" si="0"/>
        <v>2018</v>
      </c>
      <c r="B27" s="362">
        <v>1.901</v>
      </c>
      <c r="C27" s="362">
        <v>1.228</v>
      </c>
      <c r="D27" s="362">
        <v>1.083</v>
      </c>
      <c r="E27" s="362" t="s">
        <v>34</v>
      </c>
      <c r="F27" s="362" t="s">
        <v>34</v>
      </c>
      <c r="G27" s="362" t="s">
        <v>34</v>
      </c>
      <c r="H27" s="362" t="s">
        <v>34</v>
      </c>
      <c r="I27" s="362" t="s">
        <v>34</v>
      </c>
      <c r="J27" s="362" t="s">
        <v>34</v>
      </c>
      <c r="K27" s="362" t="s">
        <v>34</v>
      </c>
      <c r="L27" s="362" t="s">
        <v>34</v>
      </c>
      <c r="M27" s="362" t="s">
        <v>34</v>
      </c>
      <c r="N27" s="362" t="s">
        <v>34</v>
      </c>
      <c r="O27" s="362" t="s">
        <v>34</v>
      </c>
      <c r="P27" s="362" t="s">
        <v>34</v>
      </c>
      <c r="Q27" s="362" t="s">
        <v>34</v>
      </c>
    </row>
    <row r="28" spans="1:17" ht="13.15" customHeight="1">
      <c r="A28" s="12">
        <f t="shared" si="0"/>
        <v>2019</v>
      </c>
      <c r="B28" s="362">
        <v>1.9</v>
      </c>
      <c r="C28" s="362">
        <v>1.2310000000000001</v>
      </c>
      <c r="D28" s="362" t="s">
        <v>34</v>
      </c>
      <c r="E28" s="362" t="s">
        <v>34</v>
      </c>
      <c r="F28" s="362" t="s">
        <v>34</v>
      </c>
      <c r="G28" s="362" t="s">
        <v>34</v>
      </c>
      <c r="H28" s="362" t="s">
        <v>34</v>
      </c>
      <c r="I28" s="362" t="s">
        <v>34</v>
      </c>
      <c r="J28" s="362" t="s">
        <v>34</v>
      </c>
      <c r="K28" s="362" t="s">
        <v>34</v>
      </c>
      <c r="L28" s="362" t="s">
        <v>34</v>
      </c>
      <c r="M28" s="362" t="s">
        <v>34</v>
      </c>
      <c r="N28" s="362" t="s">
        <v>34</v>
      </c>
      <c r="O28" s="362" t="s">
        <v>34</v>
      </c>
      <c r="P28" s="362" t="s">
        <v>34</v>
      </c>
      <c r="Q28" s="362" t="s">
        <v>34</v>
      </c>
    </row>
    <row r="29" spans="1:17" ht="13.15" customHeight="1">
      <c r="A29" s="12">
        <v>2020</v>
      </c>
      <c r="B29" s="362">
        <v>1.82</v>
      </c>
      <c r="C29" s="362" t="s">
        <v>34</v>
      </c>
      <c r="D29" s="362" t="s">
        <v>34</v>
      </c>
      <c r="E29" s="362" t="s">
        <v>34</v>
      </c>
      <c r="F29" s="362" t="s">
        <v>34</v>
      </c>
      <c r="G29" s="362" t="s">
        <v>34</v>
      </c>
      <c r="H29" s="362" t="s">
        <v>34</v>
      </c>
      <c r="I29" s="362" t="s">
        <v>34</v>
      </c>
      <c r="J29" s="362" t="s">
        <v>34</v>
      </c>
      <c r="K29" s="362" t="s">
        <v>34</v>
      </c>
      <c r="L29" s="362" t="s">
        <v>34</v>
      </c>
      <c r="M29" s="362" t="s">
        <v>34</v>
      </c>
      <c r="N29" s="362" t="s">
        <v>34</v>
      </c>
      <c r="O29" s="362" t="s">
        <v>34</v>
      </c>
      <c r="P29" s="362" t="s">
        <v>34</v>
      </c>
      <c r="Q29" s="362" t="s">
        <v>34</v>
      </c>
    </row>
    <row r="30" spans="1:17" ht="13.15" customHeight="1">
      <c r="B30" s="120"/>
      <c r="C30" s="120"/>
      <c r="D30" s="120"/>
      <c r="E30" s="120"/>
      <c r="F30" s="120"/>
      <c r="G30" s="120"/>
      <c r="H30" s="120"/>
      <c r="I30" s="13"/>
      <c r="J30" s="120"/>
      <c r="K30" s="120"/>
      <c r="L30" s="120"/>
      <c r="M30" s="120"/>
      <c r="N30" s="120"/>
      <c r="O30" s="120"/>
      <c r="P30" s="120"/>
    </row>
    <row r="31" spans="1:17" ht="13.15" customHeight="1">
      <c r="A31" s="12" t="s">
        <v>20</v>
      </c>
      <c r="B31" s="374">
        <f>+ROUND(B29,3)</f>
        <v>1.82</v>
      </c>
      <c r="C31" s="374">
        <f>+ROUND(C28,3)</f>
        <v>1.2310000000000001</v>
      </c>
      <c r="D31" s="374">
        <f>ROUND(D27,3)</f>
        <v>1.083</v>
      </c>
      <c r="E31" s="374">
        <f>ROUND(E26,3)</f>
        <v>1.0429999999999999</v>
      </c>
      <c r="F31" s="374">
        <f>ROUND(F25,3)</f>
        <v>1.026</v>
      </c>
      <c r="G31" s="374">
        <f>ROUND(G24,3)</f>
        <v>1.0169999999999999</v>
      </c>
      <c r="H31" s="374">
        <f>ROUND(H23,3)</f>
        <v>1.0109999999999999</v>
      </c>
      <c r="I31" s="374">
        <f>ROUND(I22,3)</f>
        <v>1.0069999999999999</v>
      </c>
      <c r="J31" s="374">
        <f>AVERAGE(J16:J21)</f>
        <v>1.0093333333333332</v>
      </c>
      <c r="K31" s="374">
        <f>AVERAGE(K15:K20)</f>
        <v>1.0068333333333332</v>
      </c>
      <c r="L31" s="374">
        <f>AVERAGE(L14:L19)</f>
        <v>1.0053333333333334</v>
      </c>
      <c r="M31" s="374">
        <f>AVERAGE(M13:M18)</f>
        <v>1.0063333333333333</v>
      </c>
      <c r="N31" s="374">
        <f>AVERAGE(N12:N17)</f>
        <v>1.0024999999999999</v>
      </c>
      <c r="O31" s="374">
        <f>AVERAGE(O11:O16)</f>
        <v>1.0029999999999999</v>
      </c>
      <c r="P31" s="374">
        <f>AVERAGE(P10:P15)</f>
        <v>1.0028333333333332</v>
      </c>
      <c r="Q31" s="374">
        <f>AVERAGE(Q9:Q14)</f>
        <v>1.0016666666666665</v>
      </c>
    </row>
    <row r="32" spans="1:17" ht="13.15" customHeight="1">
      <c r="A32" s="12" t="s">
        <v>21</v>
      </c>
      <c r="B32" s="13">
        <f t="shared" ref="B32:O32" si="1">C32*B31</f>
        <v>2.8310590132252624</v>
      </c>
      <c r="C32" s="13">
        <f t="shared" si="1"/>
        <v>1.5555269303435508</v>
      </c>
      <c r="D32" s="13">
        <f t="shared" si="1"/>
        <v>1.2636287005227869</v>
      </c>
      <c r="E32" s="13">
        <f t="shared" si="1"/>
        <v>1.1667855037144848</v>
      </c>
      <c r="F32" s="13">
        <f t="shared" si="1"/>
        <v>1.1186821703878091</v>
      </c>
      <c r="G32" s="13">
        <f t="shared" si="1"/>
        <v>1.0903334994033227</v>
      </c>
      <c r="H32" s="13">
        <f t="shared" si="1"/>
        <v>1.0721076690298159</v>
      </c>
      <c r="I32" s="13">
        <f t="shared" si="1"/>
        <v>1.0604427982490763</v>
      </c>
      <c r="J32" s="13">
        <f t="shared" si="1"/>
        <v>1.0530712991549915</v>
      </c>
      <c r="K32" s="13">
        <f t="shared" si="1"/>
        <v>1.0433335196383668</v>
      </c>
      <c r="L32" s="13">
        <f t="shared" si="1"/>
        <v>1.0362524611538158</v>
      </c>
      <c r="M32" s="13">
        <f t="shared" si="1"/>
        <v>1.0307551006171907</v>
      </c>
      <c r="N32" s="13">
        <f t="shared" si="1"/>
        <v>1.0242680695102921</v>
      </c>
      <c r="O32" s="13">
        <f t="shared" si="1"/>
        <v>1.021713785047673</v>
      </c>
      <c r="P32" s="13">
        <f>Q32*P31</f>
        <v>1.0186578116128346</v>
      </c>
      <c r="Q32" s="13">
        <f>'Exhibit 2.1.2'!B30*'Exhibit 2.1.1'!Q31</f>
        <v>1.0157797689341879</v>
      </c>
    </row>
    <row r="33" spans="1:16" ht="13.15" customHeight="1">
      <c r="A33" s="120"/>
      <c r="B33" s="120"/>
      <c r="C33" s="120"/>
      <c r="D33" s="120"/>
      <c r="E33" s="120"/>
      <c r="F33" s="120"/>
      <c r="G33" s="120"/>
      <c r="H33" s="120"/>
      <c r="I33" s="120"/>
      <c r="J33" s="120"/>
      <c r="K33" s="120"/>
      <c r="L33" s="120"/>
      <c r="M33" s="120"/>
      <c r="N33" s="120"/>
      <c r="O33" s="120"/>
      <c r="P33" s="120"/>
    </row>
    <row r="34" spans="1:16" ht="13.15" customHeight="1">
      <c r="A34" s="9" t="s">
        <v>22</v>
      </c>
      <c r="B34" s="152" t="s">
        <v>444</v>
      </c>
      <c r="C34" s="148"/>
      <c r="D34" s="148"/>
      <c r="E34" s="148"/>
      <c r="F34" s="148"/>
      <c r="G34" s="148"/>
      <c r="H34" s="148"/>
      <c r="I34" s="148"/>
      <c r="J34" s="148"/>
      <c r="K34" s="148"/>
      <c r="L34" s="148"/>
      <c r="M34" s="148"/>
      <c r="N34" s="148"/>
      <c r="O34" s="148"/>
      <c r="P34" s="148"/>
    </row>
  </sheetData>
  <sheetProtection selectLockedCells="1" selectUnlockedCells="1"/>
  <printOptions horizontalCentered="1"/>
  <pageMargins left="0.7" right="0.7" top="0.75" bottom="0.75" header="0.3" footer="0.3"/>
  <pageSetup scale="88" orientation="landscape" blackAndWhite="1"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M52"/>
  <sheetViews>
    <sheetView zoomScaleNormal="100" zoomScaleSheetLayoutView="85" workbookViewId="0"/>
  </sheetViews>
  <sheetFormatPr defaultColWidth="9.140625" defaultRowHeight="12.75"/>
  <cols>
    <col min="1" max="1" width="9.140625" style="174"/>
    <col min="2" max="2" width="15.28515625" style="44" bestFit="1" customWidth="1"/>
    <col min="3" max="3" width="2.7109375" style="44" customWidth="1"/>
    <col min="4" max="4" width="15.28515625" style="44" bestFit="1" customWidth="1"/>
    <col min="5" max="5" width="3.28515625" style="44" customWidth="1"/>
    <col min="6" max="6" width="7.7109375" style="44" customWidth="1"/>
    <col min="7" max="7" width="13.7109375" style="44" customWidth="1"/>
    <col min="8" max="8" width="7.42578125" style="44" customWidth="1"/>
    <col min="9" max="9" width="13.7109375" style="44" customWidth="1"/>
    <col min="10" max="10" width="7.7109375" style="44" customWidth="1"/>
    <col min="11" max="11" width="6.28515625" style="174" customWidth="1"/>
    <col min="12" max="12" width="14.85546875" style="174" bestFit="1" customWidth="1"/>
    <col min="13" max="13" width="4.7109375" style="174" customWidth="1"/>
    <col min="14" max="16384" width="9.140625" style="174"/>
  </cols>
  <sheetData>
    <row r="1" spans="1:12">
      <c r="A1" s="213" t="s">
        <v>79</v>
      </c>
      <c r="B1" s="38"/>
      <c r="C1" s="38"/>
      <c r="D1" s="38"/>
      <c r="E1" s="38"/>
      <c r="F1" s="38"/>
      <c r="G1" s="38"/>
      <c r="H1" s="38"/>
      <c r="I1" s="38"/>
      <c r="J1" s="38"/>
      <c r="K1" s="25"/>
      <c r="L1" s="25"/>
    </row>
    <row r="2" spans="1:12" ht="22.15" customHeight="1">
      <c r="A2" s="44"/>
      <c r="K2" s="44"/>
      <c r="L2" s="44"/>
    </row>
    <row r="3" spans="1:12">
      <c r="A3" s="44"/>
      <c r="B3" s="40" t="s">
        <v>45</v>
      </c>
      <c r="C3" s="40"/>
      <c r="D3" s="40" t="s">
        <v>46</v>
      </c>
      <c r="E3" s="40"/>
      <c r="F3" s="40" t="s">
        <v>47</v>
      </c>
      <c r="H3" s="40" t="s">
        <v>48</v>
      </c>
      <c r="J3" s="40" t="s">
        <v>50</v>
      </c>
      <c r="K3" s="44"/>
      <c r="L3" s="40" t="s">
        <v>51</v>
      </c>
    </row>
    <row r="4" spans="1:12">
      <c r="A4" s="44"/>
      <c r="B4" s="39" t="s">
        <v>80</v>
      </c>
      <c r="C4" s="39"/>
      <c r="D4" s="39" t="s">
        <v>80</v>
      </c>
      <c r="E4" s="39"/>
      <c r="F4" s="39" t="s">
        <v>81</v>
      </c>
      <c r="G4" s="39"/>
      <c r="H4" s="39"/>
      <c r="J4" s="39" t="s">
        <v>81</v>
      </c>
      <c r="K4" s="44"/>
      <c r="L4" s="39" t="s">
        <v>63</v>
      </c>
    </row>
    <row r="5" spans="1:12">
      <c r="A5" s="44"/>
      <c r="B5" s="39" t="s">
        <v>5</v>
      </c>
      <c r="C5" s="39"/>
      <c r="D5" s="39" t="s">
        <v>84</v>
      </c>
      <c r="E5" s="39"/>
      <c r="F5" s="39" t="s">
        <v>85</v>
      </c>
      <c r="G5" s="39"/>
      <c r="H5" s="39" t="s">
        <v>86</v>
      </c>
      <c r="J5" s="39" t="s">
        <v>87</v>
      </c>
      <c r="K5" s="44"/>
      <c r="L5" s="39" t="s">
        <v>88</v>
      </c>
    </row>
    <row r="6" spans="1:12">
      <c r="A6" s="53" t="s">
        <v>54</v>
      </c>
      <c r="B6" s="39" t="s">
        <v>89</v>
      </c>
      <c r="C6" s="39"/>
      <c r="D6" s="39" t="s">
        <v>89</v>
      </c>
      <c r="E6" s="39"/>
      <c r="F6" s="39" t="s">
        <v>90</v>
      </c>
      <c r="G6" s="39"/>
      <c r="H6" s="39" t="s">
        <v>5</v>
      </c>
      <c r="J6" s="39" t="s">
        <v>91</v>
      </c>
      <c r="K6" s="44"/>
      <c r="L6" s="39" t="s">
        <v>92</v>
      </c>
    </row>
    <row r="7" spans="1:12" ht="14.85" customHeight="1">
      <c r="A7" s="41" t="s">
        <v>8</v>
      </c>
      <c r="B7" s="41" t="s">
        <v>93</v>
      </c>
      <c r="C7" s="41"/>
      <c r="D7" s="41" t="s">
        <v>93</v>
      </c>
      <c r="E7" s="39"/>
      <c r="F7" s="41" t="s">
        <v>94</v>
      </c>
      <c r="G7" s="39"/>
      <c r="H7" s="41" t="s">
        <v>95</v>
      </c>
      <c r="J7" s="41" t="s">
        <v>96</v>
      </c>
      <c r="K7" s="44"/>
      <c r="L7" s="41" t="s">
        <v>97</v>
      </c>
    </row>
    <row r="8" spans="1:12" ht="14.65" customHeight="1">
      <c r="A8" s="39">
        <f>+'Exhibit 4.1'!B9</f>
        <v>1987</v>
      </c>
      <c r="B8" s="262">
        <v>0.61</v>
      </c>
      <c r="C8" s="29"/>
      <c r="D8" s="29">
        <f t="shared" ref="D8:D40" si="0">1-B8</f>
        <v>0.39</v>
      </c>
      <c r="E8" s="39"/>
      <c r="F8" s="393">
        <v>8.9999999999999993E-3</v>
      </c>
      <c r="G8" s="379"/>
      <c r="H8" s="393">
        <v>7.3999999999999996E-2</v>
      </c>
      <c r="I8" s="379"/>
      <c r="J8" s="393">
        <v>2.8999999999999915E-2</v>
      </c>
      <c r="K8" s="39"/>
      <c r="L8" s="264">
        <f t="shared" ref="L8:L37" si="1">F8+J8</f>
        <v>3.7999999999999916E-2</v>
      </c>
    </row>
    <row r="9" spans="1:12" ht="14.65" customHeight="1">
      <c r="A9" s="39">
        <f>+'Exhibit 4.1'!B10</f>
        <v>1988</v>
      </c>
      <c r="B9" s="262">
        <v>0.64900000000000002</v>
      </c>
      <c r="C9" s="29"/>
      <c r="D9" s="29">
        <f t="shared" si="0"/>
        <v>0.35099999999999998</v>
      </c>
      <c r="E9" s="39"/>
      <c r="F9" s="393">
        <v>8.0000000000000002E-3</v>
      </c>
      <c r="G9" s="379"/>
      <c r="H9" s="393">
        <v>7.6999999999999999E-2</v>
      </c>
      <c r="I9" s="379"/>
      <c r="J9" s="395">
        <f t="shared" ref="J9:J45" si="2">ROUND(B8*1+D8*(H9+1)-1,3)</f>
        <v>0.03</v>
      </c>
      <c r="K9" s="39"/>
      <c r="L9" s="264">
        <f t="shared" si="1"/>
        <v>3.7999999999999999E-2</v>
      </c>
    </row>
    <row r="10" spans="1:12" ht="14.65" customHeight="1">
      <c r="A10" s="39">
        <f>+'Exhibit 4.1'!B11</f>
        <v>1989</v>
      </c>
      <c r="B10" s="262">
        <v>0.64700000000000002</v>
      </c>
      <c r="C10" s="29"/>
      <c r="D10" s="29">
        <f t="shared" si="0"/>
        <v>0.35299999999999998</v>
      </c>
      <c r="E10" s="39"/>
      <c r="F10" s="393">
        <v>0</v>
      </c>
      <c r="G10" s="379"/>
      <c r="H10" s="393">
        <v>8.5999999999999993E-2</v>
      </c>
      <c r="I10" s="379"/>
      <c r="J10" s="395">
        <f t="shared" si="2"/>
        <v>0.03</v>
      </c>
      <c r="K10" s="39"/>
      <c r="L10" s="264">
        <f t="shared" si="1"/>
        <v>0.03</v>
      </c>
    </row>
    <row r="11" spans="1:12" ht="14.65" customHeight="1">
      <c r="A11" s="39">
        <f>+'Exhibit 4.1'!B12</f>
        <v>1990</v>
      </c>
      <c r="B11" s="262">
        <v>0.66100000000000003</v>
      </c>
      <c r="C11" s="29"/>
      <c r="D11" s="29">
        <f t="shared" si="0"/>
        <v>0.33899999999999997</v>
      </c>
      <c r="E11" s="39"/>
      <c r="F11" s="393">
        <v>0</v>
      </c>
      <c r="G11" s="379"/>
      <c r="H11" s="393">
        <v>0.104</v>
      </c>
      <c r="I11" s="379"/>
      <c r="J11" s="395">
        <f t="shared" si="2"/>
        <v>3.6999999999999998E-2</v>
      </c>
      <c r="K11" s="39"/>
      <c r="L11" s="264">
        <f t="shared" si="1"/>
        <v>3.6999999999999998E-2</v>
      </c>
    </row>
    <row r="12" spans="1:12" ht="14.65" customHeight="1">
      <c r="A12" s="39">
        <f>+'Exhibit 4.1'!B13</f>
        <v>1991</v>
      </c>
      <c r="B12" s="262">
        <v>0.63100000000000001</v>
      </c>
      <c r="C12" s="29"/>
      <c r="D12" s="29">
        <f t="shared" si="0"/>
        <v>0.36899999999999999</v>
      </c>
      <c r="E12" s="39"/>
      <c r="F12" s="393">
        <v>0</v>
      </c>
      <c r="G12" s="379"/>
      <c r="H12" s="393">
        <v>0.106</v>
      </c>
      <c r="I12" s="379"/>
      <c r="J12" s="395">
        <f t="shared" si="2"/>
        <v>3.5999999999999997E-2</v>
      </c>
      <c r="K12" s="39"/>
      <c r="L12" s="264">
        <f t="shared" si="1"/>
        <v>3.5999999999999997E-2</v>
      </c>
    </row>
    <row r="13" spans="1:12" ht="14.65" customHeight="1">
      <c r="A13" s="39">
        <f>+'Exhibit 4.1'!B14</f>
        <v>1992</v>
      </c>
      <c r="B13" s="262">
        <v>0.628</v>
      </c>
      <c r="C13" s="29"/>
      <c r="D13" s="29">
        <f t="shared" si="0"/>
        <v>0.372</v>
      </c>
      <c r="E13" s="39"/>
      <c r="F13" s="393">
        <v>0</v>
      </c>
      <c r="G13" s="379"/>
      <c r="H13" s="393">
        <v>8.1000000000000003E-2</v>
      </c>
      <c r="I13" s="379"/>
      <c r="J13" s="395">
        <f t="shared" si="2"/>
        <v>0.03</v>
      </c>
      <c r="K13" s="39"/>
      <c r="L13" s="264">
        <f t="shared" si="1"/>
        <v>0.03</v>
      </c>
    </row>
    <row r="14" spans="1:12" ht="14.65" customHeight="1">
      <c r="A14" s="39">
        <f>+'Exhibit 4.1'!B15</f>
        <v>1993</v>
      </c>
      <c r="B14" s="262">
        <v>0.56499999999999995</v>
      </c>
      <c r="C14" s="29"/>
      <c r="D14" s="29">
        <f t="shared" si="0"/>
        <v>0.43500000000000005</v>
      </c>
      <c r="E14" s="39"/>
      <c r="F14" s="393">
        <v>0</v>
      </c>
      <c r="G14" s="379"/>
      <c r="H14" s="393">
        <v>7.2999999999999995E-2</v>
      </c>
      <c r="I14" s="379"/>
      <c r="J14" s="395">
        <f t="shared" si="2"/>
        <v>2.7E-2</v>
      </c>
      <c r="K14" s="39"/>
      <c r="L14" s="264">
        <f t="shared" si="1"/>
        <v>2.7E-2</v>
      </c>
    </row>
    <row r="15" spans="1:12" ht="14.65" customHeight="1">
      <c r="A15" s="39">
        <f>+'Exhibit 4.1'!B16</f>
        <v>1994</v>
      </c>
      <c r="B15" s="262">
        <v>0.69100000000000006</v>
      </c>
      <c r="C15" s="29"/>
      <c r="D15" s="29">
        <f t="shared" si="0"/>
        <v>0.30899999999999994</v>
      </c>
      <c r="E15" s="39"/>
      <c r="F15" s="393">
        <v>-3.5999999999999997E-2</v>
      </c>
      <c r="G15" s="379"/>
      <c r="H15" s="393">
        <v>4.2999999999999997E-2</v>
      </c>
      <c r="I15" s="379"/>
      <c r="J15" s="395">
        <f>ROUND((B14+0.138)*1+(D14-0.138)*(H15+1)-1,3)</f>
        <v>1.2999999999999999E-2</v>
      </c>
      <c r="K15" s="214" t="s">
        <v>98</v>
      </c>
      <c r="L15" s="264">
        <f t="shared" si="1"/>
        <v>-2.3E-2</v>
      </c>
    </row>
    <row r="16" spans="1:12" ht="14.65" customHeight="1">
      <c r="A16" s="39">
        <f>+'Exhibit 4.1'!B17</f>
        <v>1995</v>
      </c>
      <c r="B16" s="262">
        <v>0.6811594202898551</v>
      </c>
      <c r="C16" s="29"/>
      <c r="D16" s="29">
        <f t="shared" si="0"/>
        <v>0.3188405797101449</v>
      </c>
      <c r="E16" s="39"/>
      <c r="F16" s="393">
        <v>0</v>
      </c>
      <c r="G16" s="379"/>
      <c r="H16" s="393">
        <v>0.03</v>
      </c>
      <c r="I16" s="379"/>
      <c r="J16" s="395">
        <f t="shared" si="2"/>
        <v>8.9999999999999993E-3</v>
      </c>
      <c r="K16" s="39"/>
      <c r="L16" s="264">
        <f t="shared" si="1"/>
        <v>8.9999999999999993E-3</v>
      </c>
    </row>
    <row r="17" spans="1:13" ht="14.65" customHeight="1">
      <c r="A17" s="39">
        <f>+'Exhibit 4.1'!B18</f>
        <v>1996</v>
      </c>
      <c r="B17" s="262">
        <v>0.66277712952158685</v>
      </c>
      <c r="C17" s="29"/>
      <c r="D17" s="29">
        <f t="shared" si="0"/>
        <v>0.33722287047841315</v>
      </c>
      <c r="E17" s="39"/>
      <c r="F17" s="393">
        <v>0</v>
      </c>
      <c r="G17" s="379"/>
      <c r="H17" s="393">
        <v>0.03</v>
      </c>
      <c r="I17" s="379"/>
      <c r="J17" s="395">
        <f t="shared" si="2"/>
        <v>0.01</v>
      </c>
      <c r="K17" s="39"/>
      <c r="L17" s="264">
        <f t="shared" si="1"/>
        <v>0.01</v>
      </c>
    </row>
    <row r="18" spans="1:13" ht="14.65" customHeight="1">
      <c r="A18" s="39">
        <f>+'Exhibit 4.1'!B19</f>
        <v>1997</v>
      </c>
      <c r="B18" s="262">
        <v>0.64316702819956606</v>
      </c>
      <c r="C18" s="29"/>
      <c r="D18" s="29">
        <f t="shared" si="0"/>
        <v>0.35683297180043394</v>
      </c>
      <c r="E18" s="39"/>
      <c r="F18" s="393">
        <v>0</v>
      </c>
      <c r="G18" s="379"/>
      <c r="H18" s="393">
        <v>2.1999999999999999E-2</v>
      </c>
      <c r="I18" s="379"/>
      <c r="J18" s="395">
        <f t="shared" si="2"/>
        <v>7.0000000000000001E-3</v>
      </c>
      <c r="K18" s="39"/>
      <c r="L18" s="264">
        <f t="shared" si="1"/>
        <v>7.0000000000000001E-3</v>
      </c>
    </row>
    <row r="19" spans="1:13" ht="14.65" customHeight="1">
      <c r="A19" s="39">
        <f>+'Exhibit 4.1'!B20</f>
        <v>1998</v>
      </c>
      <c r="B19" s="262">
        <v>0.65840517241379293</v>
      </c>
      <c r="C19" s="29"/>
      <c r="D19" s="29">
        <f t="shared" si="0"/>
        <v>0.34159482758620707</v>
      </c>
      <c r="E19" s="39"/>
      <c r="F19" s="393">
        <v>0</v>
      </c>
      <c r="G19" s="379"/>
      <c r="H19" s="393">
        <v>2.1999999999999999E-2</v>
      </c>
      <c r="I19" s="379"/>
      <c r="J19" s="395">
        <f t="shared" si="2"/>
        <v>8.0000000000000002E-3</v>
      </c>
      <c r="K19" s="39"/>
      <c r="L19" s="264">
        <f t="shared" si="1"/>
        <v>8.0000000000000002E-3</v>
      </c>
    </row>
    <row r="20" spans="1:13" ht="14.65" customHeight="1">
      <c r="A20" s="39">
        <f>+'Exhibit 4.1'!B21</f>
        <v>1999</v>
      </c>
      <c r="B20" s="262">
        <v>0.7276922257720978</v>
      </c>
      <c r="C20" s="29"/>
      <c r="D20" s="29">
        <f t="shared" si="0"/>
        <v>0.2723077742279022</v>
      </c>
      <c r="E20" s="39"/>
      <c r="F20" s="393">
        <v>1.6E-2</v>
      </c>
      <c r="G20" s="379"/>
      <c r="H20" s="393">
        <v>3.3000000000000002E-2</v>
      </c>
      <c r="I20" s="379"/>
      <c r="J20" s="395">
        <f>ROUND((B19+0.077)*1+(D19-0.077)*(H20+1)-1,3)</f>
        <v>8.9999999999999993E-3</v>
      </c>
      <c r="K20" s="214" t="s">
        <v>99</v>
      </c>
      <c r="L20" s="264">
        <f t="shared" si="1"/>
        <v>2.5000000000000001E-2</v>
      </c>
    </row>
    <row r="21" spans="1:13" ht="14.65" customHeight="1">
      <c r="A21" s="39">
        <f>+'Exhibit 4.1'!B22</f>
        <v>2000</v>
      </c>
      <c r="B21" s="262">
        <v>0.71538812301166488</v>
      </c>
      <c r="C21" s="29"/>
      <c r="D21" s="29">
        <f t="shared" si="0"/>
        <v>0.28461187698833512</v>
      </c>
      <c r="E21" s="39"/>
      <c r="F21" s="393">
        <v>5.0000000000000001E-3</v>
      </c>
      <c r="G21" s="379"/>
      <c r="H21" s="393">
        <v>4.2999999999999997E-2</v>
      </c>
      <c r="I21" s="379"/>
      <c r="J21" s="395">
        <f t="shared" si="2"/>
        <v>1.2E-2</v>
      </c>
      <c r="K21" s="214"/>
      <c r="L21" s="264">
        <f t="shared" si="1"/>
        <v>1.7000000000000001E-2</v>
      </c>
    </row>
    <row r="22" spans="1:13" ht="14.65" customHeight="1">
      <c r="A22" s="39">
        <f>+'Exhibit 4.1'!B23</f>
        <v>2001</v>
      </c>
      <c r="B22" s="262">
        <v>0.7223189655172414</v>
      </c>
      <c r="C22" s="29"/>
      <c r="D22" s="29">
        <f t="shared" si="0"/>
        <v>0.2776810344827586</v>
      </c>
      <c r="E22" s="39"/>
      <c r="F22" s="393">
        <v>1.4999999999999999E-2</v>
      </c>
      <c r="G22" s="379"/>
      <c r="H22" s="393">
        <v>4.8000000000000001E-2</v>
      </c>
      <c r="I22" s="379"/>
      <c r="J22" s="395">
        <f t="shared" si="2"/>
        <v>1.4E-2</v>
      </c>
      <c r="K22" s="214"/>
      <c r="L22" s="264">
        <f t="shared" si="1"/>
        <v>2.8999999999999998E-2</v>
      </c>
    </row>
    <row r="23" spans="1:13" ht="14.65" customHeight="1">
      <c r="A23" s="39">
        <f>+'Exhibit 4.1'!B24</f>
        <v>2002</v>
      </c>
      <c r="B23" s="262">
        <v>0.63467338282078467</v>
      </c>
      <c r="C23" s="29"/>
      <c r="D23" s="29">
        <f t="shared" si="0"/>
        <v>0.36532661717921533</v>
      </c>
      <c r="E23" s="39"/>
      <c r="F23" s="393">
        <v>6.0000000000000001E-3</v>
      </c>
      <c r="G23" s="379"/>
      <c r="H23" s="393">
        <v>5.0999999999999997E-2</v>
      </c>
      <c r="I23" s="379"/>
      <c r="J23" s="395">
        <f t="shared" si="2"/>
        <v>1.4E-2</v>
      </c>
      <c r="K23" s="214"/>
      <c r="L23" s="264">
        <f t="shared" si="1"/>
        <v>0.02</v>
      </c>
    </row>
    <row r="24" spans="1:13" ht="14.65" customHeight="1">
      <c r="A24" s="39">
        <f>+'Exhibit 4.1'!B25</f>
        <v>2003</v>
      </c>
      <c r="B24" s="262">
        <v>0.78608515057113193</v>
      </c>
      <c r="C24" s="29"/>
      <c r="D24" s="29">
        <f t="shared" si="0"/>
        <v>0.21391484942886807</v>
      </c>
      <c r="E24" s="39"/>
      <c r="F24" s="393">
        <v>0</v>
      </c>
      <c r="G24" s="379"/>
      <c r="H24" s="393">
        <v>4.8000000000000001E-2</v>
      </c>
      <c r="I24" s="379"/>
      <c r="J24" s="395">
        <f>ROUND((B23+0.076)*1+(D23-0.076)*(H24+1)-1,3)</f>
        <v>1.4E-2</v>
      </c>
      <c r="K24" s="214" t="s">
        <v>100</v>
      </c>
      <c r="L24" s="264">
        <f t="shared" si="1"/>
        <v>1.4E-2</v>
      </c>
    </row>
    <row r="25" spans="1:13" ht="14.65" customHeight="1">
      <c r="A25" s="39">
        <f>+'Exhibit 4.1'!B26</f>
        <v>2004</v>
      </c>
      <c r="B25" s="262">
        <v>0.95247933884297509</v>
      </c>
      <c r="C25" s="29"/>
      <c r="D25" s="29">
        <f t="shared" si="0"/>
        <v>4.7520661157024913E-2</v>
      </c>
      <c r="E25" s="39"/>
      <c r="F25" s="393">
        <v>0</v>
      </c>
      <c r="G25" s="379"/>
      <c r="H25" s="393">
        <v>0.05</v>
      </c>
      <c r="I25" s="379"/>
      <c r="J25" s="395">
        <f>ROUND((B24+0.172)*1+(D24-0.172)*(0+1)-1,3)</f>
        <v>0</v>
      </c>
      <c r="K25" s="214" t="s">
        <v>101</v>
      </c>
      <c r="L25" s="264">
        <f t="shared" si="1"/>
        <v>0</v>
      </c>
    </row>
    <row r="26" spans="1:13" ht="14.65" customHeight="1">
      <c r="A26" s="39">
        <f>+'Exhibit 4.1'!B27</f>
        <v>2005</v>
      </c>
      <c r="B26" s="262">
        <v>0.9362186788154897</v>
      </c>
      <c r="C26" s="29"/>
      <c r="D26" s="29">
        <f t="shared" si="0"/>
        <v>6.3781321184510298E-2</v>
      </c>
      <c r="E26" s="39"/>
      <c r="F26" s="393">
        <v>0</v>
      </c>
      <c r="G26" s="379"/>
      <c r="H26" s="393">
        <v>4.8000000000000001E-2</v>
      </c>
      <c r="I26" s="379"/>
      <c r="J26" s="395">
        <f>ROUND(B25*1+D25*(0+1)-1,3)</f>
        <v>0</v>
      </c>
      <c r="K26" s="214" t="s">
        <v>102</v>
      </c>
      <c r="L26" s="264">
        <f t="shared" si="1"/>
        <v>0</v>
      </c>
    </row>
    <row r="27" spans="1:13" ht="14.65" customHeight="1">
      <c r="A27" s="39">
        <f>+'Exhibit 4.1'!B28</f>
        <v>2006</v>
      </c>
      <c r="B27" s="262">
        <v>0.92574850299401201</v>
      </c>
      <c r="C27" s="29"/>
      <c r="D27" s="29">
        <f t="shared" si="0"/>
        <v>7.4251497005987988E-2</v>
      </c>
      <c r="E27" s="39"/>
      <c r="F27" s="393">
        <v>0</v>
      </c>
      <c r="G27" s="379"/>
      <c r="H27" s="393">
        <v>4.1000000000000002E-2</v>
      </c>
      <c r="I27" s="379"/>
      <c r="J27" s="395">
        <f t="shared" si="2"/>
        <v>3.0000000000000001E-3</v>
      </c>
      <c r="K27" s="39"/>
      <c r="L27" s="264">
        <f t="shared" si="1"/>
        <v>3.0000000000000001E-3</v>
      </c>
    </row>
    <row r="28" spans="1:13" ht="14.65" customHeight="1">
      <c r="A28" s="39">
        <f>+'Exhibit 4.1'!B29</f>
        <v>2007</v>
      </c>
      <c r="B28" s="262">
        <v>0.9226260257913248</v>
      </c>
      <c r="C28" s="29"/>
      <c r="D28" s="29">
        <f t="shared" si="0"/>
        <v>7.73739742086752E-2</v>
      </c>
      <c r="E28" s="39"/>
      <c r="F28" s="393">
        <v>1.4E-2</v>
      </c>
      <c r="G28" s="379"/>
      <c r="H28" s="393">
        <v>5.2999999999999999E-2</v>
      </c>
      <c r="I28" s="379"/>
      <c r="J28" s="395">
        <f t="shared" si="2"/>
        <v>4.0000000000000001E-3</v>
      </c>
      <c r="K28" s="39"/>
      <c r="L28" s="264">
        <f t="shared" si="1"/>
        <v>1.8000000000000002E-2</v>
      </c>
      <c r="M28" s="502"/>
    </row>
    <row r="29" spans="1:13" ht="14.65" customHeight="1">
      <c r="A29" s="39">
        <f>+'Exhibit 4.1'!B30</f>
        <v>2008</v>
      </c>
      <c r="B29" s="262">
        <v>0.8956109134045076</v>
      </c>
      <c r="C29" s="29"/>
      <c r="D29" s="29">
        <f t="shared" si="0"/>
        <v>0.1043890865954924</v>
      </c>
      <c r="E29" s="39"/>
      <c r="F29" s="393">
        <v>-1E-3</v>
      </c>
      <c r="G29" s="379"/>
      <c r="H29" s="393">
        <v>4.2000000000000003E-2</v>
      </c>
      <c r="I29" s="379"/>
      <c r="J29" s="395">
        <f t="shared" si="2"/>
        <v>3.0000000000000001E-3</v>
      </c>
      <c r="K29" s="39"/>
      <c r="L29" s="264">
        <f t="shared" si="1"/>
        <v>2E-3</v>
      </c>
    </row>
    <row r="30" spans="1:13" ht="14.65" customHeight="1">
      <c r="A30" s="39">
        <f>+'Exhibit 4.1'!B31</f>
        <v>2009</v>
      </c>
      <c r="B30" s="262">
        <v>0.89419354838709675</v>
      </c>
      <c r="C30" s="29"/>
      <c r="D30" s="29">
        <f t="shared" si="0"/>
        <v>0.10580645161290325</v>
      </c>
      <c r="E30" s="39"/>
      <c r="F30" s="393">
        <v>0</v>
      </c>
      <c r="G30" s="379"/>
      <c r="H30" s="393">
        <v>3.5999999999999997E-2</v>
      </c>
      <c r="I30" s="379"/>
      <c r="J30" s="395">
        <f t="shared" si="2"/>
        <v>4.0000000000000001E-3</v>
      </c>
      <c r="K30" s="39"/>
      <c r="L30" s="264">
        <f t="shared" si="1"/>
        <v>4.0000000000000001E-3</v>
      </c>
    </row>
    <row r="31" spans="1:13" ht="14.65" customHeight="1">
      <c r="A31" s="39">
        <f>+'Exhibit 4.1'!B32</f>
        <v>2010</v>
      </c>
      <c r="B31" s="262">
        <v>0.89487179487179502</v>
      </c>
      <c r="C31" s="29"/>
      <c r="D31" s="29">
        <f t="shared" si="0"/>
        <v>0.10512820512820498</v>
      </c>
      <c r="E31" s="39"/>
      <c r="F31" s="393">
        <v>0</v>
      </c>
      <c r="G31" s="379"/>
      <c r="H31" s="393">
        <v>2.8000000000000001E-2</v>
      </c>
      <c r="I31" s="379"/>
      <c r="J31" s="395">
        <f t="shared" si="2"/>
        <v>3.0000000000000001E-3</v>
      </c>
      <c r="K31" s="39"/>
      <c r="L31" s="264">
        <f t="shared" si="1"/>
        <v>3.0000000000000001E-3</v>
      </c>
    </row>
    <row r="32" spans="1:13" ht="14.65" customHeight="1">
      <c r="A32" s="39">
        <f>+'Exhibit 4.1'!B33</f>
        <v>2011</v>
      </c>
      <c r="B32" s="262">
        <v>0.96938775510204089</v>
      </c>
      <c r="C32" s="29"/>
      <c r="D32" s="29">
        <f t="shared" si="0"/>
        <v>3.0612244897959107E-2</v>
      </c>
      <c r="E32" s="39"/>
      <c r="F32" s="393">
        <v>0</v>
      </c>
      <c r="G32" s="379"/>
      <c r="H32" s="393">
        <v>3.2000000000000001E-2</v>
      </c>
      <c r="I32" s="379"/>
      <c r="J32" s="395">
        <f t="shared" si="2"/>
        <v>3.0000000000000001E-3</v>
      </c>
      <c r="K32" s="39"/>
      <c r="L32" s="264">
        <f t="shared" si="1"/>
        <v>3.0000000000000001E-3</v>
      </c>
    </row>
    <row r="33" spans="1:13" ht="14.65" customHeight="1">
      <c r="A33" s="39">
        <f>+'Exhibit 4.1'!B34</f>
        <v>2012</v>
      </c>
      <c r="B33" s="262">
        <v>0.96938775510204089</v>
      </c>
      <c r="C33" s="29"/>
      <c r="D33" s="29">
        <f t="shared" si="0"/>
        <v>3.0612244897959107E-2</v>
      </c>
      <c r="E33" s="39"/>
      <c r="F33" s="393">
        <v>0</v>
      </c>
      <c r="G33" s="379"/>
      <c r="H33" s="393">
        <v>2.7E-2</v>
      </c>
      <c r="I33" s="379"/>
      <c r="J33" s="395">
        <f t="shared" si="2"/>
        <v>1E-3</v>
      </c>
      <c r="K33" s="39"/>
      <c r="L33" s="264">
        <f t="shared" si="1"/>
        <v>1E-3</v>
      </c>
    </row>
    <row r="34" spans="1:13" ht="14.65" customHeight="1">
      <c r="A34" s="39">
        <f>+'Exhibit 4.1'!B35</f>
        <v>2013</v>
      </c>
      <c r="B34" s="262">
        <v>0.93799999999999994</v>
      </c>
      <c r="C34" s="29"/>
      <c r="D34" s="29">
        <f t="shared" si="0"/>
        <v>6.2000000000000055E-2</v>
      </c>
      <c r="E34" s="39"/>
      <c r="F34" s="393">
        <v>0</v>
      </c>
      <c r="G34" s="379"/>
      <c r="H34" s="393">
        <v>2.5999999999999999E-2</v>
      </c>
      <c r="I34" s="379"/>
      <c r="J34" s="395">
        <f t="shared" si="2"/>
        <v>1E-3</v>
      </c>
      <c r="K34" s="39"/>
      <c r="L34" s="510">
        <f>F42+$J$34</f>
        <v>4.2250000000000003E-2</v>
      </c>
      <c r="M34" s="511" t="s">
        <v>76</v>
      </c>
    </row>
    <row r="35" spans="1:13" ht="14.65" customHeight="1">
      <c r="A35" s="39">
        <f>+'Exhibit 4.1'!B36</f>
        <v>2014</v>
      </c>
      <c r="B35" s="262">
        <v>0.92800000000000005</v>
      </c>
      <c r="C35" s="29"/>
      <c r="D35" s="29">
        <f t="shared" si="0"/>
        <v>7.1999999999999953E-2</v>
      </c>
      <c r="E35" s="39"/>
      <c r="F35" s="393">
        <v>0</v>
      </c>
      <c r="G35" s="379"/>
      <c r="H35" s="393">
        <v>4.2000000000000003E-2</v>
      </c>
      <c r="I35" s="379"/>
      <c r="J35" s="395">
        <f t="shared" si="2"/>
        <v>3.0000000000000001E-3</v>
      </c>
      <c r="K35" s="39"/>
      <c r="L35" s="264">
        <f t="shared" si="1"/>
        <v>3.0000000000000001E-3</v>
      </c>
    </row>
    <row r="36" spans="1:13" ht="14.65" customHeight="1">
      <c r="A36" s="39">
        <f>+'Exhibit 4.1'!B37</f>
        <v>2015</v>
      </c>
      <c r="B36" s="262">
        <v>0.93300000000000005</v>
      </c>
      <c r="C36" s="29"/>
      <c r="D36" s="29">
        <f t="shared" si="0"/>
        <v>6.6999999999999948E-2</v>
      </c>
      <c r="E36" s="39"/>
      <c r="F36" s="393">
        <v>0</v>
      </c>
      <c r="G36" s="379"/>
      <c r="H36" s="393">
        <v>3.1E-2</v>
      </c>
      <c r="I36" s="379"/>
      <c r="J36" s="395">
        <f t="shared" si="2"/>
        <v>2E-3</v>
      </c>
      <c r="K36" s="264"/>
      <c r="L36" s="264">
        <f t="shared" si="1"/>
        <v>2E-3</v>
      </c>
    </row>
    <row r="37" spans="1:13" ht="14.65" customHeight="1">
      <c r="A37" s="39">
        <f>+'Exhibit 4.1'!B38</f>
        <v>2016</v>
      </c>
      <c r="B37" s="262">
        <v>0.91800000000000004</v>
      </c>
      <c r="C37" s="29"/>
      <c r="D37" s="29">
        <f t="shared" si="0"/>
        <v>8.1999999999999962E-2</v>
      </c>
      <c r="E37" s="39"/>
      <c r="F37" s="393">
        <v>0</v>
      </c>
      <c r="G37" s="379"/>
      <c r="H37" s="393">
        <v>5.3999999999999999E-2</v>
      </c>
      <c r="I37" s="379"/>
      <c r="J37" s="395">
        <f t="shared" si="2"/>
        <v>4.0000000000000001E-3</v>
      </c>
      <c r="K37" s="264"/>
      <c r="L37" s="264">
        <f t="shared" si="1"/>
        <v>4.0000000000000001E-3</v>
      </c>
    </row>
    <row r="38" spans="1:13" ht="14.65" customHeight="1">
      <c r="A38" s="39">
        <f>+'Exhibit 4.1'!B39</f>
        <v>2017</v>
      </c>
      <c r="B38" s="262">
        <v>0.90600000000000003</v>
      </c>
      <c r="C38" s="29"/>
      <c r="D38" s="29">
        <f t="shared" si="0"/>
        <v>9.3999999999999972E-2</v>
      </c>
      <c r="E38" s="39"/>
      <c r="F38" s="393">
        <v>0</v>
      </c>
      <c r="G38" s="379"/>
      <c r="H38" s="393">
        <v>2.1999999999999999E-2</v>
      </c>
      <c r="I38" s="379"/>
      <c r="J38" s="395">
        <f t="shared" si="2"/>
        <v>2E-3</v>
      </c>
      <c r="K38" s="39"/>
      <c r="L38" s="264">
        <f>F38+J38</f>
        <v>2E-3</v>
      </c>
    </row>
    <row r="39" spans="1:13" ht="14.65" customHeight="1">
      <c r="A39" s="39">
        <f>+'Exhibit 4.1'!B40</f>
        <v>2018</v>
      </c>
      <c r="B39" s="262">
        <v>0.88700000000000001</v>
      </c>
      <c r="C39" s="29"/>
      <c r="D39" s="29">
        <f t="shared" si="0"/>
        <v>0.11299999999999999</v>
      </c>
      <c r="E39" s="39"/>
      <c r="F39" s="393">
        <v>0</v>
      </c>
      <c r="G39" s="379"/>
      <c r="H39" s="393">
        <v>2.5000000000000001E-2</v>
      </c>
      <c r="I39" s="379"/>
      <c r="J39" s="395">
        <f t="shared" si="2"/>
        <v>2E-3</v>
      </c>
      <c r="K39" s="39"/>
      <c r="L39" s="264">
        <f>F39+J39</f>
        <v>2E-3</v>
      </c>
    </row>
    <row r="40" spans="1:13" s="224" customFormat="1" ht="14.65" customHeight="1">
      <c r="A40" s="39">
        <f>+'Exhibit 4.1'!B41</f>
        <v>2019</v>
      </c>
      <c r="B40" s="262">
        <v>0.87270000000000003</v>
      </c>
      <c r="C40" s="29"/>
      <c r="D40" s="29">
        <f t="shared" si="0"/>
        <v>0.12729999999999997</v>
      </c>
      <c r="E40" s="39"/>
      <c r="F40" s="393">
        <v>0</v>
      </c>
      <c r="G40" s="379"/>
      <c r="H40" s="393">
        <v>3.7999999999999999E-2</v>
      </c>
      <c r="I40" s="379"/>
      <c r="J40" s="395">
        <f t="shared" si="2"/>
        <v>4.0000000000000001E-3</v>
      </c>
      <c r="K40" s="39"/>
      <c r="L40" s="264">
        <f>F40+J40</f>
        <v>4.0000000000000001E-3</v>
      </c>
    </row>
    <row r="41" spans="1:13" ht="14.65" customHeight="1">
      <c r="A41" s="39">
        <f>+'Exhibit 4.1'!B42</f>
        <v>2020</v>
      </c>
      <c r="B41" s="262">
        <v>0.86599999999999999</v>
      </c>
      <c r="C41" s="29"/>
      <c r="D41" s="29">
        <f t="shared" ref="D41:D44" si="3">1-B41</f>
        <v>0.13400000000000001</v>
      </c>
      <c r="E41" s="39"/>
      <c r="F41" s="393">
        <v>0</v>
      </c>
      <c r="G41" s="379"/>
      <c r="H41" s="393">
        <v>0.03</v>
      </c>
      <c r="I41" s="379"/>
      <c r="J41" s="395">
        <f t="shared" si="2"/>
        <v>4.0000000000000001E-3</v>
      </c>
      <c r="K41" s="39"/>
      <c r="L41" s="264">
        <f t="shared" ref="L41" si="4">F41+J41</f>
        <v>4.0000000000000001E-3</v>
      </c>
    </row>
    <row r="42" spans="1:13" s="466" customFormat="1" ht="14.65" customHeight="1">
      <c r="A42" s="39">
        <f>+'Exhibit 4.1'!B43</f>
        <v>2021</v>
      </c>
      <c r="B42" s="262">
        <v>0.86599999999999999</v>
      </c>
      <c r="C42" s="29"/>
      <c r="D42" s="29">
        <f t="shared" si="3"/>
        <v>0.13400000000000001</v>
      </c>
      <c r="E42" s="39"/>
      <c r="F42" s="393">
        <v>4.1250000000000002E-2</v>
      </c>
      <c r="G42" s="379"/>
      <c r="H42" s="393">
        <v>1.0999999999999999E-2</v>
      </c>
      <c r="I42" s="379"/>
      <c r="J42" s="395">
        <f t="shared" ref="J42:J44" si="5">ROUND(B41*1+D41*(H42+1)-1,3)</f>
        <v>1E-3</v>
      </c>
      <c r="K42" s="39"/>
      <c r="L42" s="509">
        <f>J42</f>
        <v>1E-3</v>
      </c>
      <c r="M42" s="511" t="s">
        <v>76</v>
      </c>
    </row>
    <row r="43" spans="1:13" s="502" customFormat="1" ht="14.65" customHeight="1">
      <c r="A43" s="39">
        <f>+'Exhibit 4.1'!B44</f>
        <v>2022</v>
      </c>
      <c r="B43" s="262">
        <v>0.86599999999999999</v>
      </c>
      <c r="C43" s="29"/>
      <c r="D43" s="29">
        <f t="shared" si="3"/>
        <v>0.13400000000000001</v>
      </c>
      <c r="E43" s="39"/>
      <c r="F43" s="393">
        <v>0</v>
      </c>
      <c r="G43" s="379"/>
      <c r="H43" s="393">
        <v>0.02</v>
      </c>
      <c r="I43" s="379"/>
      <c r="J43" s="395">
        <f t="shared" si="5"/>
        <v>3.0000000000000001E-3</v>
      </c>
      <c r="K43" s="39"/>
      <c r="L43" s="264">
        <f t="shared" ref="L43:L44" si="6">F43+J43</f>
        <v>3.0000000000000001E-3</v>
      </c>
    </row>
    <row r="44" spans="1:13" s="294" customFormat="1" ht="14.65" customHeight="1">
      <c r="A44" s="39">
        <f>+'Exhibit 4.1'!B45</f>
        <v>2023</v>
      </c>
      <c r="B44" s="262">
        <v>0.86599999999999999</v>
      </c>
      <c r="C44" s="29"/>
      <c r="D44" s="29">
        <f t="shared" si="3"/>
        <v>0.13400000000000001</v>
      </c>
      <c r="E44" s="39"/>
      <c r="F44" s="393">
        <v>0</v>
      </c>
      <c r="G44" s="379"/>
      <c r="H44" s="393">
        <v>2.5000000000000001E-2</v>
      </c>
      <c r="I44" s="379"/>
      <c r="J44" s="395">
        <f t="shared" si="5"/>
        <v>3.0000000000000001E-3</v>
      </c>
      <c r="K44" s="39"/>
      <c r="L44" s="264">
        <f t="shared" si="6"/>
        <v>3.0000000000000001E-3</v>
      </c>
    </row>
    <row r="45" spans="1:13" s="236" customFormat="1" ht="14.65" customHeight="1">
      <c r="A45" s="58" t="str">
        <f>+'Exhibit 4.1'!B46</f>
        <v>9/1/2023</v>
      </c>
      <c r="B45" s="262">
        <v>0.86599999999999999</v>
      </c>
      <c r="C45" s="29"/>
      <c r="D45" s="29">
        <f t="shared" ref="D45" si="7">1-B45</f>
        <v>0.13400000000000001</v>
      </c>
      <c r="E45" s="39"/>
      <c r="F45" s="393">
        <v>0</v>
      </c>
      <c r="G45" s="394" t="s">
        <v>434</v>
      </c>
      <c r="H45" s="393">
        <v>4.6131357382226401E-3</v>
      </c>
      <c r="I45" s="394" t="s">
        <v>532</v>
      </c>
      <c r="J45" s="395">
        <f t="shared" si="2"/>
        <v>1E-3</v>
      </c>
      <c r="K45" s="39"/>
      <c r="L45" s="264">
        <f>F45+J45</f>
        <v>1E-3</v>
      </c>
    </row>
    <row r="46" spans="1:13" ht="25.9" customHeight="1">
      <c r="A46" s="58"/>
      <c r="B46" s="57"/>
      <c r="C46" s="57"/>
      <c r="D46" s="29"/>
      <c r="F46" s="265"/>
      <c r="J46" s="76"/>
      <c r="K46" s="44"/>
      <c r="L46" s="76"/>
    </row>
    <row r="47" spans="1:13" ht="24.95" customHeight="1">
      <c r="A47" s="59" t="s">
        <v>22</v>
      </c>
      <c r="B47" s="529" t="s">
        <v>324</v>
      </c>
      <c r="C47" s="529"/>
      <c r="D47" s="529"/>
      <c r="E47" s="529"/>
      <c r="F47" s="529"/>
      <c r="G47" s="529"/>
      <c r="H47" s="529"/>
      <c r="I47" s="529"/>
      <c r="J47" s="529"/>
      <c r="K47" s="529"/>
      <c r="L47" s="529"/>
      <c r="M47" s="529"/>
    </row>
    <row r="48" spans="1:13" ht="38.1" customHeight="1">
      <c r="A48" s="59" t="s">
        <v>28</v>
      </c>
      <c r="B48" s="521" t="s">
        <v>533</v>
      </c>
      <c r="C48" s="521"/>
      <c r="D48" s="521"/>
      <c r="E48" s="521"/>
      <c r="F48" s="521"/>
      <c r="G48" s="521"/>
      <c r="H48" s="521"/>
      <c r="I48" s="521"/>
      <c r="J48" s="521"/>
      <c r="K48" s="521"/>
      <c r="L48" s="521"/>
      <c r="M48" s="521"/>
    </row>
    <row r="49" spans="1:13" ht="12.75" customHeight="1">
      <c r="A49" s="59" t="s">
        <v>38</v>
      </c>
      <c r="B49" s="263" t="s">
        <v>103</v>
      </c>
      <c r="C49" s="263"/>
      <c r="D49" s="263"/>
      <c r="E49" s="263"/>
      <c r="F49" s="263"/>
      <c r="G49" s="263"/>
      <c r="H49" s="263"/>
      <c r="I49" s="263"/>
      <c r="J49" s="263"/>
      <c r="K49" s="36"/>
      <c r="L49" s="36"/>
    </row>
    <row r="50" spans="1:13" ht="78" customHeight="1">
      <c r="A50" s="60" t="s">
        <v>57</v>
      </c>
      <c r="B50" s="521" t="s">
        <v>104</v>
      </c>
      <c r="C50" s="521"/>
      <c r="D50" s="521"/>
      <c r="E50" s="521"/>
      <c r="F50" s="521"/>
      <c r="G50" s="521"/>
      <c r="H50" s="521"/>
      <c r="I50" s="521"/>
      <c r="J50" s="521"/>
      <c r="K50" s="521"/>
      <c r="L50" s="521"/>
      <c r="M50" s="521"/>
    </row>
    <row r="51" spans="1:13" ht="12.75" customHeight="1">
      <c r="A51" s="60" t="s">
        <v>41</v>
      </c>
      <c r="B51" s="505" t="s">
        <v>105</v>
      </c>
      <c r="C51" s="505"/>
      <c r="D51" s="505"/>
      <c r="E51" s="505"/>
      <c r="F51" s="505"/>
      <c r="G51" s="505"/>
      <c r="H51" s="505"/>
      <c r="I51" s="505"/>
      <c r="J51" s="505"/>
      <c r="K51" s="505"/>
      <c r="L51" s="505"/>
    </row>
    <row r="52" spans="1:13" ht="24.95" customHeight="1">
      <c r="A52" s="147" t="s">
        <v>76</v>
      </c>
      <c r="B52" s="536" t="s">
        <v>534</v>
      </c>
      <c r="C52" s="536"/>
      <c r="D52" s="536"/>
      <c r="E52" s="536"/>
      <c r="F52" s="536"/>
      <c r="G52" s="536"/>
      <c r="H52" s="536"/>
      <c r="I52" s="536"/>
      <c r="J52" s="536"/>
      <c r="K52" s="536"/>
      <c r="L52" s="536"/>
      <c r="M52" s="536"/>
    </row>
  </sheetData>
  <mergeCells count="4">
    <mergeCell ref="B52:M52"/>
    <mergeCell ref="B47:M47"/>
    <mergeCell ref="B48:M48"/>
    <mergeCell ref="B50:M50"/>
  </mergeCells>
  <pageMargins left="0.5" right="0.5" top="0.75" bottom="0.75" header="0.33" footer="0.33"/>
  <pageSetup scale="77" fitToHeight="0" orientation="portrait" blackAndWhite="1" r:id="rId1"/>
  <headerFooter scaleWithDoc="0">
    <oddHeader>&amp;R&amp;"Arial,Regular"&amp;10Exhibit 4.2</oddHeader>
  </headerFooter>
  <ignoredErrors>
    <ignoredError sqref="B3:L3"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H49"/>
  <sheetViews>
    <sheetView zoomScaleNormal="100" zoomScaleSheetLayoutView="100" workbookViewId="0">
      <selection sqref="A1:H1"/>
    </sheetView>
  </sheetViews>
  <sheetFormatPr defaultColWidth="9.140625" defaultRowHeight="12.75"/>
  <cols>
    <col min="1" max="1" width="8.140625" style="174" customWidth="1"/>
    <col min="2" max="2" width="11.5703125" style="174" customWidth="1"/>
    <col min="3" max="3" width="9.140625" style="44" customWidth="1"/>
    <col min="4" max="4" width="20.28515625" style="44" customWidth="1"/>
    <col min="5" max="5" width="6.7109375" style="44" customWidth="1"/>
    <col min="6" max="6" width="18.42578125" style="174" customWidth="1"/>
    <col min="7" max="7" width="7.7109375" style="44" customWidth="1"/>
    <col min="8" max="8" width="7.140625" style="174" customWidth="1"/>
    <col min="9" max="16384" width="9.140625" style="174"/>
  </cols>
  <sheetData>
    <row r="1" spans="1:8">
      <c r="A1" s="537" t="s">
        <v>106</v>
      </c>
      <c r="B1" s="537"/>
      <c r="C1" s="537"/>
      <c r="D1" s="537"/>
      <c r="E1" s="537"/>
      <c r="F1" s="537"/>
      <c r="G1" s="537"/>
      <c r="H1" s="537"/>
    </row>
    <row r="2" spans="1:8">
      <c r="A2" s="39"/>
      <c r="B2" s="39"/>
      <c r="C2" s="40"/>
      <c r="D2" s="40"/>
      <c r="E2" s="40"/>
      <c r="F2" s="39"/>
      <c r="H2" s="39"/>
    </row>
    <row r="3" spans="1:8">
      <c r="A3" s="39"/>
      <c r="B3" s="39"/>
      <c r="C3" s="40" t="s">
        <v>45</v>
      </c>
      <c r="D3" s="40"/>
      <c r="E3" s="40" t="s">
        <v>46</v>
      </c>
      <c r="F3" s="39"/>
      <c r="G3" s="251" t="s">
        <v>47</v>
      </c>
      <c r="H3" s="39"/>
    </row>
    <row r="4" spans="1:8">
      <c r="A4" s="39"/>
      <c r="B4" s="39"/>
      <c r="C4" s="39" t="s">
        <v>107</v>
      </c>
      <c r="D4" s="39"/>
      <c r="E4" s="39" t="s">
        <v>108</v>
      </c>
      <c r="F4" s="39"/>
      <c r="G4" s="39" t="s">
        <v>109</v>
      </c>
      <c r="H4" s="39"/>
    </row>
    <row r="5" spans="1:8">
      <c r="A5" s="39" t="s">
        <v>54</v>
      </c>
      <c r="B5" s="39"/>
      <c r="C5" s="39" t="s">
        <v>110</v>
      </c>
      <c r="D5" s="39"/>
      <c r="E5" s="39" t="s">
        <v>111</v>
      </c>
      <c r="F5" s="39"/>
      <c r="G5" s="39" t="s">
        <v>112</v>
      </c>
      <c r="H5" s="39"/>
    </row>
    <row r="6" spans="1:8">
      <c r="A6" s="41" t="s">
        <v>8</v>
      </c>
      <c r="B6" s="41"/>
      <c r="C6" s="41" t="s">
        <v>350</v>
      </c>
      <c r="D6" s="41"/>
      <c r="E6" s="41" t="s">
        <v>351</v>
      </c>
      <c r="F6" s="41"/>
      <c r="G6" s="41" t="s">
        <v>352</v>
      </c>
      <c r="H6" s="41"/>
    </row>
    <row r="7" spans="1:8">
      <c r="A7" s="39"/>
      <c r="B7" s="44"/>
      <c r="F7" s="44"/>
      <c r="H7" s="44"/>
    </row>
    <row r="8" spans="1:8">
      <c r="A8" s="39">
        <f>+'Exhibit 4.1'!B9</f>
        <v>1987</v>
      </c>
      <c r="B8" s="44"/>
      <c r="C8" s="254">
        <v>0</v>
      </c>
      <c r="D8" s="396"/>
      <c r="E8" s="254">
        <v>0</v>
      </c>
      <c r="F8" s="44"/>
      <c r="G8" s="76">
        <f t="shared" ref="G8:G39" si="0">(C8+1)*(1+E8)-1</f>
        <v>0</v>
      </c>
      <c r="H8" s="44"/>
    </row>
    <row r="9" spans="1:8">
      <c r="A9" s="39">
        <f>+'Exhibit 4.1'!B10</f>
        <v>1988</v>
      </c>
      <c r="B9" s="44"/>
      <c r="C9" s="254">
        <v>0</v>
      </c>
      <c r="D9" s="396"/>
      <c r="E9" s="254">
        <v>0</v>
      </c>
      <c r="F9" s="44"/>
      <c r="G9" s="76">
        <f t="shared" si="0"/>
        <v>0</v>
      </c>
      <c r="H9" s="44"/>
    </row>
    <row r="10" spans="1:8">
      <c r="A10" s="39">
        <f>+'Exhibit 4.1'!B11</f>
        <v>1989</v>
      </c>
      <c r="B10" s="44"/>
      <c r="C10" s="254">
        <v>0</v>
      </c>
      <c r="D10" s="396"/>
      <c r="E10" s="254">
        <v>0</v>
      </c>
      <c r="F10" s="44"/>
      <c r="G10" s="76">
        <f t="shared" si="0"/>
        <v>0</v>
      </c>
      <c r="H10" s="44"/>
    </row>
    <row r="11" spans="1:8">
      <c r="A11" s="39">
        <f>+'Exhibit 4.1'!B12</f>
        <v>1990</v>
      </c>
      <c r="B11" s="44"/>
      <c r="C11" s="254">
        <v>-7.0000000000000001E-3</v>
      </c>
      <c r="D11" s="396"/>
      <c r="E11" s="254">
        <v>0.19900000000000001</v>
      </c>
      <c r="F11" s="44"/>
      <c r="G11" s="76">
        <f t="shared" si="0"/>
        <v>0.19060699999999997</v>
      </c>
      <c r="H11" s="44"/>
    </row>
    <row r="12" spans="1:8">
      <c r="A12" s="39">
        <f>+'Exhibit 4.1'!B13</f>
        <v>1991</v>
      </c>
      <c r="B12" s="44"/>
      <c r="C12" s="254">
        <v>-1.6E-2</v>
      </c>
      <c r="D12" s="396"/>
      <c r="E12" s="254">
        <v>0.14699999999999999</v>
      </c>
      <c r="F12" s="44"/>
      <c r="G12" s="76">
        <f t="shared" si="0"/>
        <v>0.1286480000000001</v>
      </c>
      <c r="H12" s="44"/>
    </row>
    <row r="13" spans="1:8">
      <c r="A13" s="39">
        <f>+'Exhibit 4.1'!B14</f>
        <v>1992</v>
      </c>
      <c r="B13" s="44"/>
      <c r="C13" s="254">
        <v>5.0000000000000001E-3</v>
      </c>
      <c r="D13" s="396"/>
      <c r="E13" s="254">
        <v>-8.4000000000000005E-2</v>
      </c>
      <c r="F13" s="44"/>
      <c r="G13" s="76">
        <f t="shared" si="0"/>
        <v>-7.9420000000000046E-2</v>
      </c>
      <c r="H13" s="44"/>
    </row>
    <row r="14" spans="1:8">
      <c r="A14" s="39">
        <f>+'Exhibit 4.1'!B15</f>
        <v>1993</v>
      </c>
      <c r="B14" s="44"/>
      <c r="C14" s="254">
        <v>-7.0000000000000001E-3</v>
      </c>
      <c r="D14" s="396"/>
      <c r="E14" s="254">
        <v>-0.18099999999999999</v>
      </c>
      <c r="F14" s="44"/>
      <c r="G14" s="76">
        <f t="shared" si="0"/>
        <v>-0.18673300000000004</v>
      </c>
      <c r="H14" s="44"/>
    </row>
    <row r="15" spans="1:8">
      <c r="A15" s="39">
        <f>+'Exhibit 4.1'!B16</f>
        <v>1994</v>
      </c>
      <c r="B15" s="44"/>
      <c r="C15" s="254">
        <v>-2.5999999999999999E-2</v>
      </c>
      <c r="D15" s="396"/>
      <c r="E15" s="254">
        <v>3.0000000000000001E-3</v>
      </c>
      <c r="F15" s="44"/>
      <c r="G15" s="76">
        <f t="shared" si="0"/>
        <v>-2.3078000000000154E-2</v>
      </c>
      <c r="H15" s="44"/>
    </row>
    <row r="16" spans="1:8">
      <c r="A16" s="39">
        <f>+'Exhibit 4.1'!B17</f>
        <v>1995</v>
      </c>
      <c r="B16" s="44"/>
      <c r="C16" s="254">
        <v>0</v>
      </c>
      <c r="D16" s="396"/>
      <c r="E16" s="254">
        <v>5.0000000000000001E-3</v>
      </c>
      <c r="F16" s="44"/>
      <c r="G16" s="76">
        <f t="shared" si="0"/>
        <v>4.9999999999998934E-3</v>
      </c>
      <c r="H16" s="44"/>
    </row>
    <row r="17" spans="1:8">
      <c r="A17" s="39">
        <f>+'Exhibit 4.1'!B18</f>
        <v>1996</v>
      </c>
      <c r="B17" s="44"/>
      <c r="C17" s="254">
        <v>0</v>
      </c>
      <c r="D17" s="396"/>
      <c r="E17" s="254">
        <v>4.0000000000000001E-3</v>
      </c>
      <c r="F17" s="44"/>
      <c r="G17" s="76">
        <f t="shared" si="0"/>
        <v>4.0000000000000036E-3</v>
      </c>
      <c r="H17" s="44"/>
    </row>
    <row r="18" spans="1:8">
      <c r="A18" s="39">
        <f>+'Exhibit 4.1'!B19</f>
        <v>1997</v>
      </c>
      <c r="B18" s="44"/>
      <c r="C18" s="254">
        <v>0</v>
      </c>
      <c r="D18" s="396"/>
      <c r="E18" s="254">
        <v>2E-3</v>
      </c>
      <c r="F18" s="44"/>
      <c r="G18" s="76">
        <f t="shared" si="0"/>
        <v>2.0000000000000018E-3</v>
      </c>
      <c r="H18" s="44"/>
    </row>
    <row r="19" spans="1:8">
      <c r="A19" s="39">
        <f>+'Exhibit 4.1'!B20</f>
        <v>1998</v>
      </c>
      <c r="B19" s="44"/>
      <c r="C19" s="254">
        <v>0.126</v>
      </c>
      <c r="D19" s="396"/>
      <c r="E19" s="254">
        <v>0</v>
      </c>
      <c r="F19" s="44"/>
      <c r="G19" s="76">
        <f t="shared" si="0"/>
        <v>0.12599999999999989</v>
      </c>
      <c r="H19" s="44"/>
    </row>
    <row r="20" spans="1:8">
      <c r="A20" s="39">
        <f>+'Exhibit 4.1'!B21</f>
        <v>1999</v>
      </c>
      <c r="B20" s="44"/>
      <c r="C20" s="254">
        <v>0.126</v>
      </c>
      <c r="D20" s="396"/>
      <c r="E20" s="254">
        <v>0</v>
      </c>
      <c r="F20" s="44"/>
      <c r="G20" s="76">
        <f t="shared" si="0"/>
        <v>0.12599999999999989</v>
      </c>
      <c r="H20" s="44"/>
    </row>
    <row r="21" spans="1:8">
      <c r="A21" s="39">
        <f>+'Exhibit 4.1'!B22</f>
        <v>2000</v>
      </c>
      <c r="B21" s="44"/>
      <c r="C21" s="254">
        <v>7.0000000000000007E-2</v>
      </c>
      <c r="D21" s="396"/>
      <c r="E21" s="254">
        <v>0</v>
      </c>
      <c r="F21" s="44"/>
      <c r="G21" s="76">
        <f t="shared" si="0"/>
        <v>7.0000000000000062E-2</v>
      </c>
      <c r="H21" s="44"/>
    </row>
    <row r="22" spans="1:8">
      <c r="A22" s="39">
        <f>+'Exhibit 4.1'!B23</f>
        <v>2001</v>
      </c>
      <c r="B22" s="44"/>
      <c r="C22" s="254">
        <v>6.6000000000000003E-2</v>
      </c>
      <c r="D22" s="396"/>
      <c r="E22" s="254">
        <v>0</v>
      </c>
      <c r="F22" s="44"/>
      <c r="G22" s="76">
        <f t="shared" si="0"/>
        <v>6.6000000000000059E-2</v>
      </c>
      <c r="H22" s="44"/>
    </row>
    <row r="23" spans="1:8">
      <c r="A23" s="39">
        <f>+'Exhibit 4.1'!B24</f>
        <v>2002</v>
      </c>
      <c r="B23" s="44"/>
      <c r="C23" s="254">
        <v>-5.6000000000000001E-2</v>
      </c>
      <c r="D23" s="396"/>
      <c r="E23" s="254">
        <v>0</v>
      </c>
      <c r="F23" s="44"/>
      <c r="G23" s="76">
        <f t="shared" si="0"/>
        <v>-5.600000000000005E-2</v>
      </c>
      <c r="H23" s="44"/>
    </row>
    <row r="24" spans="1:8">
      <c r="A24" s="39">
        <f>+'Exhibit 4.1'!B25</f>
        <v>2003</v>
      </c>
      <c r="B24" s="44"/>
      <c r="C24" s="254">
        <v>-0.06</v>
      </c>
      <c r="D24" s="396"/>
      <c r="E24" s="254">
        <v>0</v>
      </c>
      <c r="F24" s="44"/>
      <c r="G24" s="76">
        <f t="shared" si="0"/>
        <v>-6.0000000000000053E-2</v>
      </c>
      <c r="H24" s="44"/>
    </row>
    <row r="25" spans="1:8">
      <c r="A25" s="39">
        <f>+'Exhibit 4.1'!B26</f>
        <v>2004</v>
      </c>
      <c r="B25" s="44"/>
      <c r="C25" s="254">
        <v>-0.24399999999999999</v>
      </c>
      <c r="D25" s="396"/>
      <c r="E25" s="254">
        <v>-0.125</v>
      </c>
      <c r="F25" s="44"/>
      <c r="G25" s="76">
        <f t="shared" si="0"/>
        <v>-0.33850000000000002</v>
      </c>
      <c r="H25" s="44"/>
    </row>
    <row r="26" spans="1:8">
      <c r="A26" s="39">
        <f>+'Exhibit 4.1'!B27</f>
        <v>2005</v>
      </c>
      <c r="B26" s="44"/>
      <c r="C26" s="254">
        <v>0</v>
      </c>
      <c r="D26" s="396"/>
      <c r="E26" s="254">
        <v>-0.13900000000000001</v>
      </c>
      <c r="F26" s="44"/>
      <c r="G26" s="76">
        <f t="shared" si="0"/>
        <v>-0.13900000000000001</v>
      </c>
      <c r="H26" s="44"/>
    </row>
    <row r="27" spans="1:8">
      <c r="A27" s="39">
        <f>+'Exhibit 4.1'!B28</f>
        <v>2006</v>
      </c>
      <c r="B27" s="44"/>
      <c r="C27" s="254">
        <v>1E-3</v>
      </c>
      <c r="D27" s="396"/>
      <c r="E27" s="254">
        <v>-5.1999999999999998E-2</v>
      </c>
      <c r="F27" s="44"/>
      <c r="G27" s="76">
        <f t="shared" si="0"/>
        <v>-5.1052000000000097E-2</v>
      </c>
      <c r="H27" s="44"/>
    </row>
    <row r="28" spans="1:8">
      <c r="A28" s="39">
        <f>+'Exhibit 4.1'!B29</f>
        <v>2007</v>
      </c>
      <c r="B28" s="44"/>
      <c r="C28" s="254">
        <v>1E-3</v>
      </c>
      <c r="D28" s="396"/>
      <c r="E28" s="254">
        <v>0</v>
      </c>
      <c r="F28" s="44"/>
      <c r="G28" s="76">
        <f t="shared" si="0"/>
        <v>9.9999999999988987E-4</v>
      </c>
      <c r="H28" s="44"/>
    </row>
    <row r="29" spans="1:8">
      <c r="A29" s="39">
        <f>+'Exhibit 4.1'!B30</f>
        <v>2008</v>
      </c>
      <c r="B29" s="44"/>
      <c r="C29" s="254">
        <v>2E-3</v>
      </c>
      <c r="D29" s="396"/>
      <c r="E29" s="254">
        <v>3.0000000000000001E-3</v>
      </c>
      <c r="F29" s="44"/>
      <c r="G29" s="76">
        <f t="shared" si="0"/>
        <v>5.0059999999998439E-3</v>
      </c>
      <c r="H29" s="44"/>
    </row>
    <row r="30" spans="1:8">
      <c r="A30" s="39">
        <f>+'Exhibit 4.1'!B31</f>
        <v>2009</v>
      </c>
      <c r="B30" s="44"/>
      <c r="C30" s="254">
        <v>0</v>
      </c>
      <c r="D30" s="396"/>
      <c r="E30" s="254">
        <v>0.01</v>
      </c>
      <c r="F30" s="44"/>
      <c r="G30" s="76">
        <f t="shared" si="0"/>
        <v>1.0000000000000009E-2</v>
      </c>
      <c r="H30" s="44"/>
    </row>
    <row r="31" spans="1:8">
      <c r="A31" s="39">
        <f>+'Exhibit 4.1'!B32</f>
        <v>2010</v>
      </c>
      <c r="B31" s="44"/>
      <c r="C31" s="254">
        <v>0</v>
      </c>
      <c r="D31" s="396"/>
      <c r="E31" s="254">
        <v>0</v>
      </c>
      <c r="F31" s="44"/>
      <c r="G31" s="76">
        <f t="shared" si="0"/>
        <v>0</v>
      </c>
      <c r="H31" s="44"/>
    </row>
    <row r="32" spans="1:8">
      <c r="A32" s="39">
        <f>+'Exhibit 4.1'!B33</f>
        <v>2011</v>
      </c>
      <c r="B32" s="44"/>
      <c r="C32" s="254">
        <v>-0.02</v>
      </c>
      <c r="D32" s="396"/>
      <c r="E32" s="254">
        <v>0</v>
      </c>
      <c r="F32" s="44"/>
      <c r="G32" s="76">
        <f t="shared" si="0"/>
        <v>-2.0000000000000018E-2</v>
      </c>
      <c r="H32" s="44"/>
    </row>
    <row r="33" spans="1:8">
      <c r="A33" s="39">
        <f>+'Exhibit 4.1'!B34</f>
        <v>2012</v>
      </c>
      <c r="B33" s="44"/>
      <c r="C33" s="254">
        <v>-4.4999999999999998E-2</v>
      </c>
      <c r="D33" s="396"/>
      <c r="E33" s="254">
        <v>0</v>
      </c>
      <c r="F33" s="44"/>
      <c r="G33" s="76">
        <f t="shared" si="0"/>
        <v>-4.500000000000004E-2</v>
      </c>
      <c r="H33" s="44"/>
    </row>
    <row r="34" spans="1:8">
      <c r="A34" s="39">
        <f>+'Exhibit 4.1'!B35</f>
        <v>2013</v>
      </c>
      <c r="B34" s="44"/>
      <c r="C34" s="254">
        <v>-8.3000000000000004E-2</v>
      </c>
      <c r="D34" s="396"/>
      <c r="E34" s="254">
        <v>2E-3</v>
      </c>
      <c r="F34" s="44"/>
      <c r="G34" s="76">
        <f t="shared" si="0"/>
        <v>-8.116599999999996E-2</v>
      </c>
      <c r="H34" s="44"/>
    </row>
    <row r="35" spans="1:8">
      <c r="A35" s="39">
        <f>+'Exhibit 4.1'!B36</f>
        <v>2014</v>
      </c>
      <c r="B35" s="44"/>
      <c r="C35" s="254">
        <v>-0.06</v>
      </c>
      <c r="D35" s="396"/>
      <c r="E35" s="254">
        <v>1.2999999999999999E-2</v>
      </c>
      <c r="F35" s="39"/>
      <c r="G35" s="76">
        <f t="shared" si="0"/>
        <v>-4.7780000000000156E-2</v>
      </c>
      <c r="H35" s="44"/>
    </row>
    <row r="36" spans="1:8">
      <c r="A36" s="39">
        <f>+'Exhibit 4.1'!B37</f>
        <v>2015</v>
      </c>
      <c r="B36" s="44"/>
      <c r="C36" s="254">
        <v>-2.1000000000000001E-2</v>
      </c>
      <c r="D36" s="396"/>
      <c r="E36" s="254">
        <v>0</v>
      </c>
      <c r="F36" s="39"/>
      <c r="G36" s="76">
        <f t="shared" si="0"/>
        <v>-2.1000000000000019E-2</v>
      </c>
      <c r="H36" s="44"/>
    </row>
    <row r="37" spans="1:8">
      <c r="A37" s="39">
        <f>+'Exhibit 4.1'!B38</f>
        <v>2016</v>
      </c>
      <c r="B37" s="44"/>
      <c r="C37" s="254">
        <v>-7.0000000000000001E-3</v>
      </c>
      <c r="D37" s="396"/>
      <c r="E37" s="254">
        <v>0</v>
      </c>
      <c r="F37" s="39"/>
      <c r="G37" s="76">
        <f t="shared" si="0"/>
        <v>-7.0000000000000062E-3</v>
      </c>
      <c r="H37" s="44"/>
    </row>
    <row r="38" spans="1:8">
      <c r="A38" s="39">
        <f>+'Exhibit 4.1'!B39</f>
        <v>2017</v>
      </c>
      <c r="B38" s="44"/>
      <c r="C38" s="254">
        <v>-5.0000000000000001E-3</v>
      </c>
      <c r="D38" s="396"/>
      <c r="E38" s="254">
        <v>0</v>
      </c>
      <c r="F38" s="39"/>
      <c r="G38" s="76">
        <f t="shared" si="0"/>
        <v>-5.0000000000000044E-3</v>
      </c>
      <c r="H38" s="44"/>
    </row>
    <row r="39" spans="1:8">
      <c r="A39" s="39">
        <f>+'Exhibit 4.1'!B40</f>
        <v>2018</v>
      </c>
      <c r="B39" s="44"/>
      <c r="C39" s="254">
        <v>-3.0000000000000001E-3</v>
      </c>
      <c r="D39" s="396"/>
      <c r="E39" s="254">
        <v>0</v>
      </c>
      <c r="F39" s="44"/>
      <c r="G39" s="76">
        <f t="shared" si="0"/>
        <v>-3.0000000000000027E-3</v>
      </c>
      <c r="H39" s="44"/>
    </row>
    <row r="40" spans="1:8" s="224" customFormat="1">
      <c r="A40" s="39">
        <f>+'Exhibit 4.1'!B41</f>
        <v>2019</v>
      </c>
      <c r="B40" s="44"/>
      <c r="C40" s="254">
        <v>0</v>
      </c>
      <c r="D40" s="396"/>
      <c r="E40" s="254">
        <v>0</v>
      </c>
      <c r="F40" s="44"/>
      <c r="G40" s="76">
        <f t="shared" ref="G40:G44" si="1">(C40+1)*(1+E40)-1</f>
        <v>0</v>
      </c>
      <c r="H40" s="44"/>
    </row>
    <row r="41" spans="1:8">
      <c r="A41" s="39">
        <f>+'Exhibit 4.1'!B42</f>
        <v>2020</v>
      </c>
      <c r="B41" s="44"/>
      <c r="C41" s="254">
        <v>0</v>
      </c>
      <c r="D41" s="396"/>
      <c r="E41" s="254">
        <v>0</v>
      </c>
      <c r="F41" s="44"/>
      <c r="G41" s="76">
        <f t="shared" si="1"/>
        <v>0</v>
      </c>
      <c r="H41" s="44"/>
    </row>
    <row r="42" spans="1:8" s="466" customFormat="1">
      <c r="A42" s="39">
        <f>+'Exhibit 4.1'!B43</f>
        <v>2021</v>
      </c>
      <c r="B42" s="44"/>
      <c r="C42" s="254">
        <v>0</v>
      </c>
      <c r="D42" s="396"/>
      <c r="E42" s="254">
        <v>0</v>
      </c>
      <c r="F42" s="44"/>
      <c r="G42" s="76">
        <f t="shared" si="1"/>
        <v>0</v>
      </c>
      <c r="H42" s="44"/>
    </row>
    <row r="43" spans="1:8" s="502" customFormat="1">
      <c r="A43" s="39">
        <f>+'Exhibit 4.1'!B44</f>
        <v>2022</v>
      </c>
      <c r="B43" s="44"/>
      <c r="C43" s="254">
        <v>0</v>
      </c>
      <c r="D43" s="396"/>
      <c r="E43" s="254">
        <v>0</v>
      </c>
      <c r="F43" s="44"/>
      <c r="G43" s="76">
        <f t="shared" si="1"/>
        <v>0</v>
      </c>
      <c r="H43" s="44"/>
    </row>
    <row r="44" spans="1:8" s="294" customFormat="1">
      <c r="A44" s="39">
        <f>+'Exhibit 4.1'!B45</f>
        <v>2023</v>
      </c>
      <c r="B44" s="44"/>
      <c r="C44" s="254">
        <v>0</v>
      </c>
      <c r="D44" s="396"/>
      <c r="E44" s="254">
        <v>0</v>
      </c>
      <c r="F44" s="44"/>
      <c r="G44" s="76">
        <f t="shared" si="1"/>
        <v>0</v>
      </c>
      <c r="H44" s="44"/>
    </row>
    <row r="45" spans="1:8" s="236" customFormat="1">
      <c r="A45" s="58" t="str">
        <f>+'Exhibit 4.1'!B46</f>
        <v>9/1/2023</v>
      </c>
      <c r="B45" s="44"/>
      <c r="C45" s="254">
        <v>0</v>
      </c>
      <c r="D45" s="396"/>
      <c r="E45" s="254">
        <v>0</v>
      </c>
      <c r="F45" s="44"/>
      <c r="G45" s="76">
        <f t="shared" ref="G45" si="2">(C45+1)*(1+E45)-1</f>
        <v>0</v>
      </c>
      <c r="H45" s="44"/>
    </row>
    <row r="46" spans="1:8">
      <c r="A46" s="44"/>
      <c r="B46" s="44"/>
      <c r="C46" s="76"/>
      <c r="E46" s="76"/>
      <c r="F46" s="44"/>
      <c r="H46" s="44"/>
    </row>
    <row r="47" spans="1:8" ht="54.6" customHeight="1">
      <c r="A47" s="31" t="s">
        <v>22</v>
      </c>
      <c r="B47" s="538" t="s">
        <v>335</v>
      </c>
      <c r="C47" s="538"/>
      <c r="D47" s="538"/>
      <c r="E47" s="538"/>
      <c r="F47" s="538"/>
      <c r="G47" s="538"/>
      <c r="H47" s="538"/>
    </row>
    <row r="48" spans="1:8" ht="27" customHeight="1">
      <c r="A48" s="31" t="s">
        <v>28</v>
      </c>
      <c r="B48" s="521" t="s">
        <v>113</v>
      </c>
      <c r="C48" s="521"/>
      <c r="D48" s="521"/>
      <c r="E48" s="521"/>
      <c r="F48" s="521"/>
      <c r="G48" s="521"/>
      <c r="H48" s="521"/>
    </row>
    <row r="49" spans="1:8" ht="12.75" customHeight="1">
      <c r="A49" s="31" t="s">
        <v>38</v>
      </c>
      <c r="B49" s="36" t="s">
        <v>114</v>
      </c>
      <c r="C49" s="36"/>
      <c r="D49" s="36"/>
      <c r="E49" s="36"/>
      <c r="F49" s="36"/>
      <c r="G49" s="36"/>
      <c r="H49" s="36"/>
    </row>
  </sheetData>
  <mergeCells count="3">
    <mergeCell ref="B48:H48"/>
    <mergeCell ref="A1:H1"/>
    <mergeCell ref="B47:H47"/>
  </mergeCells>
  <printOptions horizontalCentered="1"/>
  <pageMargins left="0.5" right="0.5" top="0.75" bottom="0.75" header="0.33" footer="0.33"/>
  <pageSetup orientation="portrait" blackAndWhite="1" horizontalDpi="1200" verticalDpi="1200" r:id="rId1"/>
  <headerFooter scaleWithDoc="0">
    <oddHeader>&amp;R&amp;"Arial,Regular"&amp;10Exhibit 4.3</oddHeader>
  </headerFooter>
  <ignoredErrors>
    <ignoredError sqref="C3:G3"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I51"/>
  <sheetViews>
    <sheetView zoomScaleNormal="100" zoomScaleSheetLayoutView="85" workbookViewId="0"/>
  </sheetViews>
  <sheetFormatPr defaultColWidth="9.140625" defaultRowHeight="12.75"/>
  <cols>
    <col min="1" max="1" width="9.28515625" style="174" bestFit="1" customWidth="1"/>
    <col min="2" max="2" width="7.28515625" style="174" customWidth="1"/>
    <col min="3" max="3" width="13.7109375" style="174" customWidth="1"/>
    <col min="4" max="4" width="7.28515625" style="174" customWidth="1"/>
    <col min="5" max="5" width="13.7109375" style="174" customWidth="1"/>
    <col min="6" max="6" width="7.28515625" style="174" customWidth="1"/>
    <col min="7" max="7" width="13.7109375" style="174" customWidth="1"/>
    <col min="8" max="8" width="7.28515625" style="174" customWidth="1"/>
    <col min="9" max="9" width="9.85546875" style="44" customWidth="1"/>
    <col min="10" max="16384" width="9.140625" style="174"/>
  </cols>
  <sheetData>
    <row r="1" spans="1:9">
      <c r="A1" s="213" t="s">
        <v>115</v>
      </c>
      <c r="B1" s="213"/>
      <c r="C1" s="213"/>
      <c r="D1" s="213"/>
      <c r="E1" s="213"/>
      <c r="F1" s="213"/>
      <c r="G1" s="213"/>
      <c r="H1" s="213"/>
      <c r="I1" s="213"/>
    </row>
    <row r="2" spans="1:9">
      <c r="A2" s="39"/>
      <c r="B2" s="39"/>
      <c r="C2" s="40"/>
      <c r="D2" s="40"/>
      <c r="E2" s="40"/>
      <c r="F2" s="251"/>
      <c r="G2" s="251"/>
      <c r="H2" s="251"/>
      <c r="I2" s="251"/>
    </row>
    <row r="3" spans="1:9">
      <c r="A3" s="39"/>
      <c r="B3" s="39"/>
      <c r="C3" s="40" t="s">
        <v>45</v>
      </c>
      <c r="D3" s="40"/>
      <c r="E3" s="40" t="s">
        <v>46</v>
      </c>
      <c r="F3" s="39"/>
      <c r="G3" s="40" t="s">
        <v>47</v>
      </c>
      <c r="H3" s="251"/>
      <c r="I3" s="251" t="s">
        <v>48</v>
      </c>
    </row>
    <row r="4" spans="1:9">
      <c r="A4" s="39"/>
      <c r="B4" s="44"/>
      <c r="C4" s="113" t="s">
        <v>63</v>
      </c>
      <c r="D4" s="39"/>
      <c r="E4" s="113" t="s">
        <v>63</v>
      </c>
      <c r="F4" s="39"/>
      <c r="G4" s="39" t="s">
        <v>116</v>
      </c>
      <c r="H4" s="39"/>
      <c r="I4" s="29" t="s">
        <v>64</v>
      </c>
    </row>
    <row r="5" spans="1:9">
      <c r="A5" s="39"/>
      <c r="B5" s="44"/>
      <c r="C5" s="113" t="s">
        <v>88</v>
      </c>
      <c r="D5" s="39"/>
      <c r="E5" s="113" t="s">
        <v>117</v>
      </c>
      <c r="F5" s="39"/>
      <c r="G5" s="39" t="s">
        <v>118</v>
      </c>
      <c r="H5" s="39"/>
      <c r="I5" s="39" t="s">
        <v>5</v>
      </c>
    </row>
    <row r="6" spans="1:9">
      <c r="A6" s="39" t="s">
        <v>54</v>
      </c>
      <c r="B6" s="44"/>
      <c r="C6" s="113" t="s">
        <v>92</v>
      </c>
      <c r="D6" s="39"/>
      <c r="E6" s="113" t="s">
        <v>92</v>
      </c>
      <c r="F6" s="39"/>
      <c r="G6" s="39" t="s">
        <v>70</v>
      </c>
      <c r="H6" s="39"/>
      <c r="I6" s="39" t="s">
        <v>119</v>
      </c>
    </row>
    <row r="7" spans="1:9">
      <c r="A7" s="41" t="s">
        <v>8</v>
      </c>
      <c r="B7" s="44"/>
      <c r="C7" s="255" t="s">
        <v>120</v>
      </c>
      <c r="D7" s="39"/>
      <c r="E7" s="255" t="s">
        <v>348</v>
      </c>
      <c r="F7" s="39"/>
      <c r="G7" s="41" t="s">
        <v>349</v>
      </c>
      <c r="H7" s="39"/>
      <c r="I7" s="41" t="s">
        <v>75</v>
      </c>
    </row>
    <row r="8" spans="1:9">
      <c r="A8" s="39"/>
      <c r="B8" s="44"/>
      <c r="C8" s="44"/>
      <c r="D8" s="44"/>
      <c r="E8" s="44"/>
      <c r="F8" s="44"/>
      <c r="G8" s="44"/>
      <c r="H8" s="44"/>
    </row>
    <row r="9" spans="1:9">
      <c r="A9" s="39">
        <f>+'Exhibit 4.1'!B9</f>
        <v>1987</v>
      </c>
      <c r="B9" s="44"/>
      <c r="C9" s="256">
        <f>SUMIFS('Exhibit 4.2'!L:L,'Exhibit 4.2'!A:A,$A9)</f>
        <v>3.7999999999999916E-2</v>
      </c>
      <c r="D9" s="256"/>
      <c r="E9" s="256">
        <f>SUMIFS('Exhibit 4.3'!G:G,'Exhibit 4.3'!A:A,$A9)</f>
        <v>0</v>
      </c>
      <c r="F9" s="257"/>
      <c r="G9" s="256">
        <f t="shared" ref="G9:G46" si="0">(C9+1)*(1+E9)-1</f>
        <v>3.7999999999999812E-2</v>
      </c>
      <c r="H9" s="44"/>
      <c r="I9" s="30">
        <f t="shared" ref="I9:I43" si="1">I10*(1+G10)</f>
        <v>0.83604483575290989</v>
      </c>
    </row>
    <row r="10" spans="1:9">
      <c r="A10" s="39">
        <f>+'Exhibit 4.1'!B10</f>
        <v>1988</v>
      </c>
      <c r="B10" s="44"/>
      <c r="C10" s="256">
        <f>SUMIFS('Exhibit 4.2'!L:L,'Exhibit 4.2'!A:A,$A10)</f>
        <v>3.7999999999999999E-2</v>
      </c>
      <c r="D10" s="256"/>
      <c r="E10" s="256">
        <f>SUMIFS('Exhibit 4.3'!G:G,'Exhibit 4.3'!A:A,$A10)</f>
        <v>0</v>
      </c>
      <c r="F10" s="257"/>
      <c r="G10" s="256">
        <f t="shared" si="0"/>
        <v>3.8000000000000034E-2</v>
      </c>
      <c r="H10" s="44"/>
      <c r="I10" s="30">
        <f t="shared" si="1"/>
        <v>0.80543818473305384</v>
      </c>
    </row>
    <row r="11" spans="1:9">
      <c r="A11" s="39">
        <f>+'Exhibit 4.1'!B11</f>
        <v>1989</v>
      </c>
      <c r="B11" s="44"/>
      <c r="C11" s="256">
        <f>SUMIFS('Exhibit 4.2'!L:L,'Exhibit 4.2'!A:A,$A11)</f>
        <v>0.03</v>
      </c>
      <c r="D11" s="256"/>
      <c r="E11" s="256">
        <f>SUMIFS('Exhibit 4.3'!G:G,'Exhibit 4.3'!A:A,$A11)</f>
        <v>0</v>
      </c>
      <c r="F11" s="257"/>
      <c r="G11" s="256">
        <f t="shared" si="0"/>
        <v>3.0000000000000027E-2</v>
      </c>
      <c r="H11" s="44"/>
      <c r="I11" s="30">
        <f t="shared" si="1"/>
        <v>0.78197882012917852</v>
      </c>
    </row>
    <row r="12" spans="1:9">
      <c r="A12" s="39">
        <f>+'Exhibit 4.1'!B12</f>
        <v>1990</v>
      </c>
      <c r="B12" s="44"/>
      <c r="C12" s="256">
        <f>SUMIFS('Exhibit 4.2'!L:L,'Exhibit 4.2'!A:A,$A12)</f>
        <v>3.6999999999999998E-2</v>
      </c>
      <c r="D12" s="256"/>
      <c r="E12" s="256">
        <f>SUMIFS('Exhibit 4.3'!G:G,'Exhibit 4.3'!A:A,$A12)</f>
        <v>0.19060699999999997</v>
      </c>
      <c r="F12" s="257"/>
      <c r="G12" s="256">
        <f t="shared" si="0"/>
        <v>0.23465945899999996</v>
      </c>
      <c r="H12" s="44"/>
      <c r="I12" s="30">
        <f t="shared" si="1"/>
        <v>0.63335587349934885</v>
      </c>
    </row>
    <row r="13" spans="1:9">
      <c r="A13" s="39">
        <f>+'Exhibit 4.1'!B13</f>
        <v>1991</v>
      </c>
      <c r="B13" s="44"/>
      <c r="C13" s="256">
        <f>SUMIFS('Exhibit 4.2'!L:L,'Exhibit 4.2'!A:A,$A13)</f>
        <v>3.5999999999999997E-2</v>
      </c>
      <c r="D13" s="256"/>
      <c r="E13" s="256">
        <f>SUMIFS('Exhibit 4.3'!G:G,'Exhibit 4.3'!A:A,$A13)</f>
        <v>0.1286480000000001</v>
      </c>
      <c r="F13" s="257"/>
      <c r="G13" s="256">
        <f t="shared" si="0"/>
        <v>0.16927932800000023</v>
      </c>
      <c r="H13" s="44"/>
      <c r="I13" s="30">
        <f t="shared" si="1"/>
        <v>0.54166344887211482</v>
      </c>
    </row>
    <row r="14" spans="1:9">
      <c r="A14" s="39">
        <f>+'Exhibit 4.1'!B14</f>
        <v>1992</v>
      </c>
      <c r="B14" s="44"/>
      <c r="C14" s="256">
        <f>SUMIFS('Exhibit 4.2'!L:L,'Exhibit 4.2'!A:A,$A14)</f>
        <v>0.03</v>
      </c>
      <c r="D14" s="256"/>
      <c r="E14" s="256">
        <f>SUMIFS('Exhibit 4.3'!G:G,'Exhibit 4.3'!A:A,$A14)</f>
        <v>-7.9420000000000046E-2</v>
      </c>
      <c r="F14" s="257"/>
      <c r="G14" s="256">
        <f t="shared" si="0"/>
        <v>-5.1802600000000032E-2</v>
      </c>
      <c r="H14" s="44"/>
      <c r="I14" s="30">
        <f t="shared" si="1"/>
        <v>0.5712559946611484</v>
      </c>
    </row>
    <row r="15" spans="1:9">
      <c r="A15" s="39">
        <f>+'Exhibit 4.1'!B15</f>
        <v>1993</v>
      </c>
      <c r="B15" s="44"/>
      <c r="C15" s="256">
        <f>SUMIFS('Exhibit 4.2'!L:L,'Exhibit 4.2'!A:A,$A15)</f>
        <v>2.7E-2</v>
      </c>
      <c r="D15" s="256"/>
      <c r="E15" s="256">
        <f>SUMIFS('Exhibit 4.3'!G:G,'Exhibit 4.3'!A:A,$A15)</f>
        <v>-0.18673300000000004</v>
      </c>
      <c r="F15" s="257"/>
      <c r="G15" s="256">
        <f t="shared" si="0"/>
        <v>-0.16477479100000014</v>
      </c>
      <c r="H15" s="44"/>
      <c r="I15" s="30">
        <f t="shared" si="1"/>
        <v>0.68395444546639461</v>
      </c>
    </row>
    <row r="16" spans="1:9">
      <c r="A16" s="39">
        <f>+'Exhibit 4.1'!B16</f>
        <v>1994</v>
      </c>
      <c r="B16" s="44"/>
      <c r="C16" s="256">
        <f>SUMIFS('Exhibit 4.2'!L:L,'Exhibit 4.2'!A:A,$A16)</f>
        <v>-2.3E-2</v>
      </c>
      <c r="D16" s="256"/>
      <c r="E16" s="256">
        <f>SUMIFS('Exhibit 4.3'!G:G,'Exhibit 4.3'!A:A,$A16)</f>
        <v>-2.3078000000000154E-2</v>
      </c>
      <c r="F16" s="257"/>
      <c r="G16" s="256">
        <f t="shared" si="0"/>
        <v>-4.5547206000000173E-2</v>
      </c>
      <c r="H16" s="44"/>
      <c r="I16" s="30">
        <f t="shared" si="1"/>
        <v>0.71659326659836331</v>
      </c>
    </row>
    <row r="17" spans="1:9">
      <c r="A17" s="39">
        <f>+'Exhibit 4.1'!B17</f>
        <v>1995</v>
      </c>
      <c r="B17" s="44"/>
      <c r="C17" s="256">
        <f>SUMIFS('Exhibit 4.2'!L:L,'Exhibit 4.2'!A:A,$A17)</f>
        <v>8.9999999999999993E-3</v>
      </c>
      <c r="D17" s="256"/>
      <c r="E17" s="256">
        <f>SUMIFS('Exhibit 4.3'!G:G,'Exhibit 4.3'!A:A,$A17)</f>
        <v>4.9999999999998934E-3</v>
      </c>
      <c r="F17" s="257"/>
      <c r="G17" s="256">
        <f t="shared" si="0"/>
        <v>1.4044999999999863E-2</v>
      </c>
      <c r="H17" s="44"/>
      <c r="I17" s="30">
        <f t="shared" si="1"/>
        <v>0.7066681129519532</v>
      </c>
    </row>
    <row r="18" spans="1:9">
      <c r="A18" s="39">
        <f>+'Exhibit 4.1'!B18</f>
        <v>1996</v>
      </c>
      <c r="B18" s="44"/>
      <c r="C18" s="256">
        <f>SUMIFS('Exhibit 4.2'!L:L,'Exhibit 4.2'!A:A,$A18)</f>
        <v>0.01</v>
      </c>
      <c r="D18" s="256"/>
      <c r="E18" s="256">
        <f>SUMIFS('Exhibit 4.3'!G:G,'Exhibit 4.3'!A:A,$A18)</f>
        <v>4.0000000000000036E-3</v>
      </c>
      <c r="F18" s="257"/>
      <c r="G18" s="256">
        <f t="shared" si="0"/>
        <v>1.4040000000000052E-2</v>
      </c>
      <c r="H18" s="44"/>
      <c r="I18" s="30">
        <f t="shared" si="1"/>
        <v>0.69688386350829667</v>
      </c>
    </row>
    <row r="19" spans="1:9">
      <c r="A19" s="39">
        <f>+'Exhibit 4.1'!B19</f>
        <v>1997</v>
      </c>
      <c r="B19" s="44"/>
      <c r="C19" s="256">
        <f>SUMIFS('Exhibit 4.2'!L:L,'Exhibit 4.2'!A:A,$A19)</f>
        <v>7.0000000000000001E-3</v>
      </c>
      <c r="D19" s="256"/>
      <c r="E19" s="256">
        <f>SUMIFS('Exhibit 4.3'!G:G,'Exhibit 4.3'!A:A,$A19)</f>
        <v>2.0000000000000018E-3</v>
      </c>
      <c r="F19" s="257"/>
      <c r="G19" s="256">
        <f t="shared" si="0"/>
        <v>9.0139999999998555E-3</v>
      </c>
      <c r="H19" s="44"/>
      <c r="I19" s="30">
        <f t="shared" si="1"/>
        <v>0.69065826986374501</v>
      </c>
    </row>
    <row r="20" spans="1:9">
      <c r="A20" s="39">
        <f>+'Exhibit 4.1'!B20</f>
        <v>1998</v>
      </c>
      <c r="B20" s="44"/>
      <c r="C20" s="256">
        <f>SUMIFS('Exhibit 4.2'!L:L,'Exhibit 4.2'!A:A,$A20)</f>
        <v>8.0000000000000002E-3</v>
      </c>
      <c r="D20" s="256"/>
      <c r="E20" s="256">
        <f>SUMIFS('Exhibit 4.3'!G:G,'Exhibit 4.3'!A:A,$A20)</f>
        <v>0.12599999999999989</v>
      </c>
      <c r="F20" s="257"/>
      <c r="G20" s="256">
        <f t="shared" si="0"/>
        <v>0.13500799999999979</v>
      </c>
      <c r="H20" s="44"/>
      <c r="I20" s="30">
        <f t="shared" si="1"/>
        <v>0.60850519984330076</v>
      </c>
    </row>
    <row r="21" spans="1:9">
      <c r="A21" s="39">
        <f>+'Exhibit 4.1'!B21</f>
        <v>1999</v>
      </c>
      <c r="B21" s="44"/>
      <c r="C21" s="256">
        <f>SUMIFS('Exhibit 4.2'!L:L,'Exhibit 4.2'!A:A,$A21)</f>
        <v>2.5000000000000001E-2</v>
      </c>
      <c r="D21" s="256"/>
      <c r="E21" s="256">
        <f>SUMIFS('Exhibit 4.3'!G:G,'Exhibit 4.3'!A:A,$A21)</f>
        <v>0.12599999999999989</v>
      </c>
      <c r="F21" s="257"/>
      <c r="G21" s="256">
        <f t="shared" si="0"/>
        <v>0.15414999999999979</v>
      </c>
      <c r="H21" s="44"/>
      <c r="I21" s="30">
        <f t="shared" si="1"/>
        <v>0.52723233534921876</v>
      </c>
    </row>
    <row r="22" spans="1:9">
      <c r="A22" s="39">
        <f>+'Exhibit 4.1'!B22</f>
        <v>2000</v>
      </c>
      <c r="B22" s="44"/>
      <c r="C22" s="256">
        <f>SUMIFS('Exhibit 4.2'!L:L,'Exhibit 4.2'!A:A,$A22)</f>
        <v>1.7000000000000001E-2</v>
      </c>
      <c r="D22" s="256"/>
      <c r="E22" s="256">
        <f>SUMIFS('Exhibit 4.3'!G:G,'Exhibit 4.3'!A:A,$A22)</f>
        <v>7.0000000000000062E-2</v>
      </c>
      <c r="F22" s="257"/>
      <c r="G22" s="256">
        <f t="shared" si="0"/>
        <v>8.8189999999999991E-2</v>
      </c>
      <c r="H22" s="44"/>
      <c r="I22" s="30">
        <f t="shared" si="1"/>
        <v>0.48450393345759363</v>
      </c>
    </row>
    <row r="23" spans="1:9">
      <c r="A23" s="39">
        <f>+'Exhibit 4.1'!B23</f>
        <v>2001</v>
      </c>
      <c r="B23" s="44"/>
      <c r="C23" s="256">
        <f>SUMIFS('Exhibit 4.2'!L:L,'Exhibit 4.2'!A:A,$A23)</f>
        <v>2.8999999999999998E-2</v>
      </c>
      <c r="D23" s="256"/>
      <c r="E23" s="256">
        <f>SUMIFS('Exhibit 4.3'!G:G,'Exhibit 4.3'!A:A,$A23)</f>
        <v>6.6000000000000059E-2</v>
      </c>
      <c r="F23" s="257"/>
      <c r="G23" s="256">
        <f t="shared" si="0"/>
        <v>9.6913999999999945E-2</v>
      </c>
      <c r="H23" s="44"/>
      <c r="I23" s="30">
        <f t="shared" si="1"/>
        <v>0.44169728297532318</v>
      </c>
    </row>
    <row r="24" spans="1:9">
      <c r="A24" s="39">
        <f>+'Exhibit 4.1'!B24</f>
        <v>2002</v>
      </c>
      <c r="B24" s="44"/>
      <c r="C24" s="256">
        <f>SUMIFS('Exhibit 4.2'!L:L,'Exhibit 4.2'!A:A,$A24)</f>
        <v>0.02</v>
      </c>
      <c r="D24" s="256"/>
      <c r="E24" s="256">
        <f>SUMIFS('Exhibit 4.3'!G:G,'Exhibit 4.3'!A:A,$A24)</f>
        <v>-5.600000000000005E-2</v>
      </c>
      <c r="F24" s="257"/>
      <c r="G24" s="256">
        <f t="shared" si="0"/>
        <v>-3.7120000000000042E-2</v>
      </c>
      <c r="H24" s="44"/>
      <c r="I24" s="30">
        <f t="shared" si="1"/>
        <v>0.458725160949779</v>
      </c>
    </row>
    <row r="25" spans="1:9">
      <c r="A25" s="39">
        <f>+'Exhibit 4.1'!B25</f>
        <v>2003</v>
      </c>
      <c r="B25" s="44"/>
      <c r="C25" s="256">
        <f>SUMIFS('Exhibit 4.2'!L:L,'Exhibit 4.2'!A:A,$A25)</f>
        <v>1.4E-2</v>
      </c>
      <c r="D25" s="256"/>
      <c r="E25" s="256">
        <f>SUMIFS('Exhibit 4.3'!G:G,'Exhibit 4.3'!A:A,$A25)</f>
        <v>-6.0000000000000053E-2</v>
      </c>
      <c r="F25" s="257"/>
      <c r="G25" s="256">
        <f t="shared" si="0"/>
        <v>-4.6839999999999993E-2</v>
      </c>
      <c r="H25" s="44"/>
      <c r="I25" s="30">
        <f t="shared" si="1"/>
        <v>0.48126774198432476</v>
      </c>
    </row>
    <row r="26" spans="1:9">
      <c r="A26" s="39">
        <f>+'Exhibit 4.1'!B26</f>
        <v>2004</v>
      </c>
      <c r="B26" s="44"/>
      <c r="C26" s="256">
        <f>SUMIFS('Exhibit 4.2'!L:L,'Exhibit 4.2'!A:A,$A26)</f>
        <v>0</v>
      </c>
      <c r="D26" s="256"/>
      <c r="E26" s="256">
        <f>SUMIFS('Exhibit 4.3'!G:G,'Exhibit 4.3'!A:A,$A26)</f>
        <v>-0.33850000000000002</v>
      </c>
      <c r="F26" s="257"/>
      <c r="G26" s="256">
        <f t="shared" si="0"/>
        <v>-0.33850000000000002</v>
      </c>
      <c r="H26" s="44"/>
      <c r="I26" s="30">
        <f t="shared" si="1"/>
        <v>0.727540048351209</v>
      </c>
    </row>
    <row r="27" spans="1:9">
      <c r="A27" s="39">
        <f>+'Exhibit 4.1'!B27</f>
        <v>2005</v>
      </c>
      <c r="B27" s="44"/>
      <c r="C27" s="256">
        <f>SUMIFS('Exhibit 4.2'!L:L,'Exhibit 4.2'!A:A,$A27)</f>
        <v>0</v>
      </c>
      <c r="D27" s="256"/>
      <c r="E27" s="256">
        <f>SUMIFS('Exhibit 4.3'!G:G,'Exhibit 4.3'!A:A,$A27)</f>
        <v>-0.13900000000000001</v>
      </c>
      <c r="F27" s="257"/>
      <c r="G27" s="256">
        <f t="shared" si="0"/>
        <v>-0.13900000000000001</v>
      </c>
      <c r="H27" s="44"/>
      <c r="I27" s="30">
        <f t="shared" si="1"/>
        <v>0.84499424895610797</v>
      </c>
    </row>
    <row r="28" spans="1:9">
      <c r="A28" s="39">
        <f>+'Exhibit 4.1'!B28</f>
        <v>2006</v>
      </c>
      <c r="B28" s="44"/>
      <c r="C28" s="256">
        <f>SUMIFS('Exhibit 4.2'!L:L,'Exhibit 4.2'!A:A,$A28)</f>
        <v>3.0000000000000001E-3</v>
      </c>
      <c r="D28" s="256"/>
      <c r="E28" s="256">
        <f>SUMIFS('Exhibit 4.3'!G:G,'Exhibit 4.3'!A:A,$A28)</f>
        <v>-5.1052000000000097E-2</v>
      </c>
      <c r="F28" s="257"/>
      <c r="G28" s="256">
        <f t="shared" si="0"/>
        <v>-4.8205156000000193E-2</v>
      </c>
      <c r="H28" s="44"/>
      <c r="I28" s="30">
        <f t="shared" si="1"/>
        <v>0.88779031981823608</v>
      </c>
    </row>
    <row r="29" spans="1:9">
      <c r="A29" s="39">
        <f>+'Exhibit 4.1'!B29</f>
        <v>2007</v>
      </c>
      <c r="B29" s="44"/>
      <c r="C29" s="256">
        <f>SUMIFS('Exhibit 4.2'!L:L,'Exhibit 4.2'!A:A,$A29)</f>
        <v>1.8000000000000002E-2</v>
      </c>
      <c r="D29" s="256"/>
      <c r="E29" s="256">
        <f>SUMIFS('Exhibit 4.3'!G:G,'Exhibit 4.3'!A:A,$A29)</f>
        <v>9.9999999999988987E-4</v>
      </c>
      <c r="F29" s="257"/>
      <c r="G29" s="256">
        <f t="shared" si="0"/>
        <v>1.9017999999999979E-2</v>
      </c>
      <c r="H29" s="44"/>
      <c r="I29" s="30">
        <f t="shared" si="1"/>
        <v>0.87122143065013191</v>
      </c>
    </row>
    <row r="30" spans="1:9">
      <c r="A30" s="39">
        <f>+'Exhibit 4.1'!B30</f>
        <v>2008</v>
      </c>
      <c r="B30" s="44"/>
      <c r="C30" s="256">
        <f>SUMIFS('Exhibit 4.2'!L:L,'Exhibit 4.2'!A:A,$A30)</f>
        <v>2E-3</v>
      </c>
      <c r="D30" s="256"/>
      <c r="E30" s="256">
        <f>SUMIFS('Exhibit 4.3'!G:G,'Exhibit 4.3'!A:A,$A30)</f>
        <v>5.0059999999998439E-3</v>
      </c>
      <c r="F30" s="257"/>
      <c r="G30" s="256">
        <f t="shared" si="0"/>
        <v>7.0160119999997939E-3</v>
      </c>
      <c r="H30" s="44"/>
      <c r="I30" s="30">
        <f t="shared" si="1"/>
        <v>0.86515151722347394</v>
      </c>
    </row>
    <row r="31" spans="1:9">
      <c r="A31" s="39">
        <f>+'Exhibit 4.1'!B31</f>
        <v>2009</v>
      </c>
      <c r="B31" s="44"/>
      <c r="C31" s="256">
        <f>SUMIFS('Exhibit 4.2'!L:L,'Exhibit 4.2'!A:A,$A31)</f>
        <v>4.0000000000000001E-3</v>
      </c>
      <c r="D31" s="256"/>
      <c r="E31" s="256">
        <f>SUMIFS('Exhibit 4.3'!G:G,'Exhibit 4.3'!A:A,$A31)</f>
        <v>1.0000000000000009E-2</v>
      </c>
      <c r="F31" s="257"/>
      <c r="G31" s="256">
        <f t="shared" si="0"/>
        <v>1.4040000000000052E-2</v>
      </c>
      <c r="H31" s="44"/>
      <c r="I31" s="30">
        <f t="shared" si="1"/>
        <v>0.85317296874233162</v>
      </c>
    </row>
    <row r="32" spans="1:9">
      <c r="A32" s="39">
        <f>+'Exhibit 4.1'!B32</f>
        <v>2010</v>
      </c>
      <c r="B32" s="44"/>
      <c r="C32" s="256">
        <f>SUMIFS('Exhibit 4.2'!L:L,'Exhibit 4.2'!A:A,$A32)</f>
        <v>3.0000000000000001E-3</v>
      </c>
      <c r="D32" s="256"/>
      <c r="E32" s="256">
        <f>SUMIFS('Exhibit 4.3'!G:G,'Exhibit 4.3'!A:A,$A32)</f>
        <v>0</v>
      </c>
      <c r="F32" s="257"/>
      <c r="G32" s="256">
        <f t="shared" si="0"/>
        <v>2.9999999999998916E-3</v>
      </c>
      <c r="H32" s="44"/>
      <c r="I32" s="30">
        <f t="shared" si="1"/>
        <v>0.85062110542605351</v>
      </c>
    </row>
    <row r="33" spans="1:9">
      <c r="A33" s="39">
        <f>+'Exhibit 4.1'!B33</f>
        <v>2011</v>
      </c>
      <c r="B33" s="44"/>
      <c r="C33" s="256">
        <f>SUMIFS('Exhibit 4.2'!L:L,'Exhibit 4.2'!A:A,$A33)</f>
        <v>3.0000000000000001E-3</v>
      </c>
      <c r="D33" s="256"/>
      <c r="E33" s="256">
        <f>SUMIFS('Exhibit 4.3'!G:G,'Exhibit 4.3'!A:A,$A33)</f>
        <v>-2.0000000000000018E-2</v>
      </c>
      <c r="F33" s="257"/>
      <c r="G33" s="256">
        <f t="shared" si="0"/>
        <v>-1.7060000000000075E-2</v>
      </c>
      <c r="H33" s="44"/>
      <c r="I33" s="30">
        <f t="shared" si="1"/>
        <v>0.86538456612413128</v>
      </c>
    </row>
    <row r="34" spans="1:9">
      <c r="A34" s="39">
        <f>+'Exhibit 4.1'!B34</f>
        <v>2012</v>
      </c>
      <c r="B34" s="44"/>
      <c r="C34" s="256">
        <f>SUMIFS('Exhibit 4.2'!L:L,'Exhibit 4.2'!A:A,$A34)</f>
        <v>1E-3</v>
      </c>
      <c r="D34" s="256"/>
      <c r="E34" s="256">
        <f>SUMIFS('Exhibit 4.3'!G:G,'Exhibit 4.3'!A:A,$A34)</f>
        <v>-4.500000000000004E-2</v>
      </c>
      <c r="F34" s="257"/>
      <c r="G34" s="256">
        <f t="shared" si="0"/>
        <v>-4.4045000000000112E-2</v>
      </c>
      <c r="H34" s="44"/>
      <c r="I34" s="30">
        <f t="shared" si="1"/>
        <v>0.9052565927518883</v>
      </c>
    </row>
    <row r="35" spans="1:9">
      <c r="A35" s="39">
        <f>+'Exhibit 4.1'!B35</f>
        <v>2013</v>
      </c>
      <c r="B35" s="44"/>
      <c r="C35" s="256">
        <f>SUMIFS('Exhibit 4.2'!L:L,'Exhibit 4.2'!A:A,$A35)</f>
        <v>4.2250000000000003E-2</v>
      </c>
      <c r="D35" s="256"/>
      <c r="E35" s="256">
        <f>SUMIFS('Exhibit 4.3'!G:G,'Exhibit 4.3'!A:A,$A35)</f>
        <v>-8.116599999999996E-2</v>
      </c>
      <c r="F35" s="257"/>
      <c r="G35" s="256">
        <f t="shared" si="0"/>
        <v>-4.2345263500000008E-2</v>
      </c>
      <c r="H35" s="44"/>
      <c r="I35" s="30">
        <f t="shared" si="1"/>
        <v>0.94528493229238919</v>
      </c>
    </row>
    <row r="36" spans="1:9">
      <c r="A36" s="39">
        <f>+'Exhibit 4.1'!B36</f>
        <v>2014</v>
      </c>
      <c r="B36" s="207"/>
      <c r="C36" s="256">
        <f>SUMIFS('Exhibit 4.2'!L:L,'Exhibit 4.2'!A:A,$A36)</f>
        <v>3.0000000000000001E-3</v>
      </c>
      <c r="D36" s="258"/>
      <c r="E36" s="256">
        <f>SUMIFS('Exhibit 4.3'!G:G,'Exhibit 4.3'!A:A,$A36)</f>
        <v>-4.7780000000000156E-2</v>
      </c>
      <c r="F36" s="259"/>
      <c r="G36" s="258">
        <f t="shared" si="0"/>
        <v>-4.4923340000000311E-2</v>
      </c>
      <c r="H36" s="207"/>
      <c r="I36" s="30">
        <f t="shared" si="1"/>
        <v>0.98974770495636388</v>
      </c>
    </row>
    <row r="37" spans="1:9">
      <c r="A37" s="39">
        <f>+'Exhibit 4.1'!B37</f>
        <v>2015</v>
      </c>
      <c r="B37" s="207"/>
      <c r="C37" s="256">
        <f>SUMIFS('Exhibit 4.2'!L:L,'Exhibit 4.2'!A:A,$A37)</f>
        <v>2E-3</v>
      </c>
      <c r="D37" s="258"/>
      <c r="E37" s="256">
        <f>SUMIFS('Exhibit 4.3'!G:G,'Exhibit 4.3'!A:A,$A37)</f>
        <v>-2.1000000000000019E-2</v>
      </c>
      <c r="F37" s="259"/>
      <c r="G37" s="258">
        <f t="shared" si="0"/>
        <v>-1.9042000000000003E-2</v>
      </c>
      <c r="H37" s="207"/>
      <c r="I37" s="30">
        <f t="shared" si="1"/>
        <v>1.0089603275128638</v>
      </c>
    </row>
    <row r="38" spans="1:9">
      <c r="A38" s="39">
        <f>+'Exhibit 4.1'!B38</f>
        <v>2016</v>
      </c>
      <c r="B38" s="207"/>
      <c r="C38" s="256">
        <f>SUMIFS('Exhibit 4.2'!L:L,'Exhibit 4.2'!A:A,$A38)</f>
        <v>4.0000000000000001E-3</v>
      </c>
      <c r="D38" s="258"/>
      <c r="E38" s="256">
        <f>SUMIFS('Exhibit 4.3'!G:G,'Exhibit 4.3'!A:A,$A38)</f>
        <v>-7.0000000000000062E-3</v>
      </c>
      <c r="F38" s="259"/>
      <c r="G38" s="258">
        <f t="shared" si="0"/>
        <v>-3.0280000000000307E-3</v>
      </c>
      <c r="H38" s="207"/>
      <c r="I38" s="30">
        <f t="shared" si="1"/>
        <v>1.0120247384208021</v>
      </c>
    </row>
    <row r="39" spans="1:9">
      <c r="A39" s="39">
        <f>+'Exhibit 4.1'!B39</f>
        <v>2017</v>
      </c>
      <c r="B39" s="207"/>
      <c r="C39" s="256">
        <f>SUMIFS('Exhibit 4.2'!L:L,'Exhibit 4.2'!A:A,$A39)</f>
        <v>2E-3</v>
      </c>
      <c r="D39" s="258"/>
      <c r="E39" s="256">
        <f>SUMIFS('Exhibit 4.3'!G:G,'Exhibit 4.3'!A:A,$A39)</f>
        <v>-5.0000000000000044E-3</v>
      </c>
      <c r="F39" s="259"/>
      <c r="G39" s="258">
        <f t="shared" si="0"/>
        <v>-3.0099999999999572E-3</v>
      </c>
      <c r="H39" s="207"/>
      <c r="I39" s="30">
        <f t="shared" si="1"/>
        <v>1.0150801296109309</v>
      </c>
    </row>
    <row r="40" spans="1:9">
      <c r="A40" s="39">
        <f>+'Exhibit 4.1'!B40</f>
        <v>2018</v>
      </c>
      <c r="B40" s="207"/>
      <c r="C40" s="256">
        <f>SUMIFS('Exhibit 4.2'!L:L,'Exhibit 4.2'!A:A,$A40)</f>
        <v>2E-3</v>
      </c>
      <c r="D40" s="258"/>
      <c r="E40" s="256">
        <f>SUMIFS('Exhibit 4.3'!G:G,'Exhibit 4.3'!A:A,$A40)</f>
        <v>-3.0000000000000027E-3</v>
      </c>
      <c r="F40" s="259"/>
      <c r="G40" s="258">
        <f t="shared" si="0"/>
        <v>-1.0059999999999514E-3</v>
      </c>
      <c r="H40" s="207"/>
      <c r="I40" s="30">
        <f t="shared" si="1"/>
        <v>1.0161023285534556</v>
      </c>
    </row>
    <row r="41" spans="1:9" s="224" customFormat="1">
      <c r="A41" s="39">
        <f>+'Exhibit 4.1'!B41</f>
        <v>2019</v>
      </c>
      <c r="B41" s="207"/>
      <c r="C41" s="256">
        <f>SUMIFS('Exhibit 4.2'!L:L,'Exhibit 4.2'!A:A,$A41)</f>
        <v>4.0000000000000001E-3</v>
      </c>
      <c r="D41" s="258"/>
      <c r="E41" s="256">
        <f>SUMIFS('Exhibit 4.3'!G:G,'Exhibit 4.3'!A:A,$A41)</f>
        <v>0</v>
      </c>
      <c r="F41" s="259"/>
      <c r="G41" s="258">
        <f t="shared" ref="G41:G42" si="2">(C41+1)*(1+E41)-1</f>
        <v>4.0000000000000036E-3</v>
      </c>
      <c r="H41" s="207"/>
      <c r="I41" s="30">
        <f t="shared" si="1"/>
        <v>1.0120541121050355</v>
      </c>
    </row>
    <row r="42" spans="1:9" s="236" customFormat="1">
      <c r="A42" s="39">
        <f>+'Exhibit 4.1'!B42</f>
        <v>2020</v>
      </c>
      <c r="B42" s="207"/>
      <c r="C42" s="256">
        <f>SUMIFS('Exhibit 4.2'!L:L,'Exhibit 4.2'!A:A,$A42)</f>
        <v>4.0000000000000001E-3</v>
      </c>
      <c r="D42" s="258"/>
      <c r="E42" s="256">
        <f>SUMIFS('Exhibit 4.3'!G:G,'Exhibit 4.3'!A:A,$A42)</f>
        <v>0</v>
      </c>
      <c r="F42" s="259"/>
      <c r="G42" s="258">
        <f t="shared" si="2"/>
        <v>4.0000000000000036E-3</v>
      </c>
      <c r="H42" s="207"/>
      <c r="I42" s="30">
        <f t="shared" si="1"/>
        <v>1.0080220240089994</v>
      </c>
    </row>
    <row r="43" spans="1:9" s="466" customFormat="1">
      <c r="A43" s="39">
        <f>+'Exhibit 4.1'!B43</f>
        <v>2021</v>
      </c>
      <c r="B43" s="207"/>
      <c r="C43" s="256">
        <f>SUMIFS('Exhibit 4.2'!L:L,'Exhibit 4.2'!A:A,$A43)</f>
        <v>1E-3</v>
      </c>
      <c r="D43" s="258"/>
      <c r="E43" s="256">
        <f>SUMIFS('Exhibit 4.3'!G:G,'Exhibit 4.3'!A:A,$A43)</f>
        <v>0</v>
      </c>
      <c r="F43" s="259"/>
      <c r="G43" s="258">
        <f t="shared" ref="G43:G45" si="3">(C43+1)*(1+E43)-1</f>
        <v>9.9999999999988987E-4</v>
      </c>
      <c r="H43" s="207"/>
      <c r="I43" s="30">
        <f t="shared" si="1"/>
        <v>1.0070150089999996</v>
      </c>
    </row>
    <row r="44" spans="1:9" s="502" customFormat="1">
      <c r="A44" s="39">
        <f>+'Exhibit 4.1'!B44</f>
        <v>2022</v>
      </c>
      <c r="B44" s="207"/>
      <c r="C44" s="256">
        <f>SUMIFS('Exhibit 4.2'!L:L,'Exhibit 4.2'!A:A,$A44)</f>
        <v>3.0000000000000001E-3</v>
      </c>
      <c r="D44" s="258"/>
      <c r="E44" s="256">
        <f>SUMIFS('Exhibit 4.3'!G:G,'Exhibit 4.3'!A:A,$A44)</f>
        <v>0</v>
      </c>
      <c r="F44" s="259"/>
      <c r="G44" s="258">
        <f t="shared" si="3"/>
        <v>2.9999999999998916E-3</v>
      </c>
      <c r="H44" s="207"/>
      <c r="I44" s="384">
        <f>(1+G46)*(1+G45)</f>
        <v>1.0040029999999998</v>
      </c>
    </row>
    <row r="45" spans="1:9" s="294" customFormat="1">
      <c r="A45" s="39">
        <f>+'Exhibit 4.1'!B45</f>
        <v>2023</v>
      </c>
      <c r="B45" s="207"/>
      <c r="C45" s="256">
        <f>SUMIFS('Exhibit 4.2'!L:L,'Exhibit 4.2'!A:A,$A45)</f>
        <v>3.0000000000000001E-3</v>
      </c>
      <c r="D45" s="258"/>
      <c r="E45" s="256">
        <f>SUMIFS('Exhibit 4.3'!G:G,'Exhibit 4.3'!A:A,$A45)</f>
        <v>0</v>
      </c>
      <c r="F45" s="259"/>
      <c r="G45" s="258">
        <f t="shared" si="3"/>
        <v>2.9999999999998916E-3</v>
      </c>
      <c r="H45" s="207"/>
      <c r="I45" s="268"/>
    </row>
    <row r="46" spans="1:9">
      <c r="A46" s="39" t="str">
        <f>+'Exhibit 4.1'!B46</f>
        <v>9/1/2023</v>
      </c>
      <c r="B46" s="207"/>
      <c r="C46" s="256">
        <f>SUMIFS('Exhibit 4.2'!L:L,'Exhibit 4.2'!A:A,$A46)</f>
        <v>1E-3</v>
      </c>
      <c r="D46" s="259"/>
      <c r="E46" s="256">
        <f>SUMIFS('Exhibit 4.3'!G:G,'Exhibit 4.3'!A:A,$A46)</f>
        <v>0</v>
      </c>
      <c r="F46" s="259"/>
      <c r="G46" s="258">
        <f t="shared" si="0"/>
        <v>9.9999999999988987E-4</v>
      </c>
      <c r="H46" s="207"/>
      <c r="I46" s="262"/>
    </row>
    <row r="47" spans="1:9">
      <c r="A47" s="39"/>
      <c r="B47" s="207"/>
      <c r="C47" s="207"/>
      <c r="D47" s="207"/>
      <c r="E47" s="207"/>
      <c r="F47" s="207"/>
      <c r="G47" s="207"/>
      <c r="H47" s="207"/>
      <c r="I47" s="207"/>
    </row>
    <row r="48" spans="1:9">
      <c r="A48" s="40" t="s">
        <v>22</v>
      </c>
      <c r="B48" s="261" t="s">
        <v>121</v>
      </c>
      <c r="C48" s="113"/>
      <c r="D48" s="113"/>
      <c r="E48" s="113"/>
      <c r="F48" s="113"/>
      <c r="G48" s="113"/>
      <c r="H48" s="113"/>
      <c r="I48" s="113"/>
    </row>
    <row r="49" spans="1:9">
      <c r="A49" s="40" t="s">
        <v>28</v>
      </c>
      <c r="B49" s="261" t="s">
        <v>122</v>
      </c>
      <c r="C49" s="113"/>
      <c r="D49" s="113"/>
      <c r="E49" s="113"/>
      <c r="F49" s="113"/>
      <c r="G49" s="113"/>
      <c r="H49" s="113"/>
      <c r="I49" s="113"/>
    </row>
    <row r="50" spans="1:9">
      <c r="A50" s="40" t="s">
        <v>38</v>
      </c>
      <c r="B50" s="261" t="s">
        <v>123</v>
      </c>
      <c r="C50" s="113"/>
      <c r="D50" s="113"/>
      <c r="E50" s="113"/>
      <c r="F50" s="113"/>
      <c r="G50" s="113"/>
      <c r="H50" s="113"/>
      <c r="I50" s="113"/>
    </row>
    <row r="51" spans="1:9">
      <c r="A51" s="260" t="s">
        <v>124</v>
      </c>
      <c r="B51" s="261" t="str">
        <f>"These factors adjust the annual impact shown in Column (3) to the "&amp;$A$46&amp;" level."</f>
        <v>These factors adjust the annual impact shown in Column (3) to the 9/1/2023 level.</v>
      </c>
      <c r="C51" s="113"/>
      <c r="D51" s="113"/>
      <c r="E51" s="113"/>
      <c r="F51" s="113"/>
      <c r="G51" s="113"/>
      <c r="H51" s="113"/>
      <c r="I51" s="113"/>
    </row>
  </sheetData>
  <printOptions horizontalCentered="1"/>
  <pageMargins left="0.5" right="0.5" top="0.75" bottom="0.75" header="0.33" footer="0.33"/>
  <pageSetup scale="93" orientation="portrait" blackAndWhite="1" r:id="rId1"/>
  <headerFooter scaleWithDoc="0">
    <oddHeader>&amp;R&amp;"Arial,Regular"&amp;10Exhibit 4.4</oddHeader>
  </headerFooter>
  <ignoredErrors>
    <ignoredError sqref="C3:I3"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53"/>
  <sheetViews>
    <sheetView zoomScaleNormal="100" zoomScaleSheetLayoutView="100" workbookViewId="0"/>
  </sheetViews>
  <sheetFormatPr defaultColWidth="9.140625" defaultRowHeight="12.75"/>
  <cols>
    <col min="1" max="1" width="12.7109375" style="108" customWidth="1"/>
    <col min="2" max="2" width="7.7109375" style="108" customWidth="1"/>
    <col min="3" max="3" width="12.7109375" style="108" customWidth="1"/>
    <col min="4" max="4" width="12.7109375" style="108" bestFit="1" customWidth="1"/>
    <col min="5" max="5" width="12.7109375" style="108" customWidth="1"/>
    <col min="6" max="6" width="12.7109375" style="108" bestFit="1" customWidth="1"/>
    <col min="7" max="7" width="17.7109375" style="108" customWidth="1"/>
    <col min="8" max="16384" width="9.140625" style="108"/>
  </cols>
  <sheetData>
    <row r="1" spans="1:7">
      <c r="A1" s="239" t="s">
        <v>125</v>
      </c>
      <c r="B1" s="239"/>
      <c r="C1" s="239"/>
      <c r="D1" s="239"/>
      <c r="E1" s="239"/>
      <c r="F1" s="239"/>
      <c r="G1" s="239"/>
    </row>
    <row r="2" spans="1:7">
      <c r="A2" s="63"/>
      <c r="B2" s="63"/>
      <c r="C2" s="64"/>
      <c r="D2" s="63"/>
      <c r="E2" s="63"/>
      <c r="F2" s="63"/>
      <c r="G2" s="64"/>
    </row>
    <row r="3" spans="1:7">
      <c r="A3" s="63"/>
      <c r="B3" s="63"/>
      <c r="C3" s="64"/>
      <c r="D3" s="63"/>
      <c r="E3" s="63"/>
      <c r="F3" s="63"/>
      <c r="G3" s="64"/>
    </row>
    <row r="4" spans="1:7">
      <c r="A4" s="63"/>
      <c r="B4" s="63"/>
      <c r="C4" s="64"/>
      <c r="D4" s="63"/>
      <c r="E4" s="63"/>
      <c r="F4" s="63"/>
      <c r="G4" s="64"/>
    </row>
    <row r="5" spans="1:7">
      <c r="A5" s="63"/>
      <c r="B5" s="63"/>
      <c r="C5" s="64"/>
      <c r="D5" s="63"/>
      <c r="E5" s="63"/>
      <c r="F5" s="63"/>
      <c r="G5" s="64"/>
    </row>
    <row r="6" spans="1:7">
      <c r="A6" s="63"/>
      <c r="B6" s="63"/>
      <c r="C6" s="40" t="s">
        <v>45</v>
      </c>
      <c r="D6" s="40"/>
      <c r="E6" s="40" t="s">
        <v>46</v>
      </c>
      <c r="F6" s="39"/>
      <c r="G6" s="40" t="s">
        <v>47</v>
      </c>
    </row>
    <row r="7" spans="1:7">
      <c r="A7" s="63"/>
      <c r="B7" s="63"/>
      <c r="C7" s="64"/>
      <c r="D7" s="63"/>
      <c r="E7" s="27" t="s">
        <v>52</v>
      </c>
      <c r="F7" s="63"/>
      <c r="G7" s="30" t="s">
        <v>82</v>
      </c>
    </row>
    <row r="8" spans="1:7">
      <c r="A8" s="122"/>
      <c r="B8" s="10"/>
      <c r="C8" s="48" t="s">
        <v>126</v>
      </c>
      <c r="D8" s="10"/>
      <c r="E8" s="48" t="s">
        <v>126</v>
      </c>
      <c r="F8" s="466"/>
      <c r="G8" s="30" t="str">
        <f>TEXT($A$49,"m/d/yyyy")</f>
        <v>9/1/2023</v>
      </c>
    </row>
    <row r="9" spans="1:7">
      <c r="A9" s="26" t="s">
        <v>8</v>
      </c>
      <c r="B9" s="65"/>
      <c r="C9" s="66" t="s">
        <v>347</v>
      </c>
      <c r="D9" s="65"/>
      <c r="E9" s="66" t="s">
        <v>486</v>
      </c>
      <c r="F9" s="467"/>
      <c r="G9" s="46" t="s">
        <v>487</v>
      </c>
    </row>
    <row r="10" spans="1:7">
      <c r="A10" s="177">
        <v>1987</v>
      </c>
      <c r="B10" s="67"/>
      <c r="C10" s="397">
        <v>5.6000000000000005</v>
      </c>
      <c r="D10" s="44"/>
      <c r="E10" s="44"/>
      <c r="F10" s="44"/>
      <c r="G10" s="30">
        <f t="shared" ref="G10:G41" si="0">G11*(1+C11/100)</f>
        <v>3.6642649447369644</v>
      </c>
    </row>
    <row r="11" spans="1:7">
      <c r="A11" s="252">
        <f t="shared" ref="A11:A44" si="1">A10+1</f>
        <v>1988</v>
      </c>
      <c r="B11" s="67"/>
      <c r="C11" s="397">
        <v>4.3999999999999995</v>
      </c>
      <c r="D11" s="44"/>
      <c r="E11" s="44"/>
      <c r="F11" s="44"/>
      <c r="G11" s="30">
        <f t="shared" si="0"/>
        <v>3.5098323225449848</v>
      </c>
    </row>
    <row r="12" spans="1:7">
      <c r="A12" s="252">
        <f t="shared" si="1"/>
        <v>1989</v>
      </c>
      <c r="B12" s="67"/>
      <c r="C12" s="397">
        <v>4.3</v>
      </c>
      <c r="D12" s="44"/>
      <c r="E12" s="44"/>
      <c r="F12" s="44"/>
      <c r="G12" s="30">
        <f t="shared" si="0"/>
        <v>3.3651316611169557</v>
      </c>
    </row>
    <row r="13" spans="1:7">
      <c r="A13" s="252">
        <f t="shared" si="1"/>
        <v>1990</v>
      </c>
      <c r="B13" s="67"/>
      <c r="C13" s="397">
        <v>5</v>
      </c>
      <c r="D13" s="44"/>
      <c r="E13" s="44"/>
      <c r="F13" s="44"/>
      <c r="G13" s="30">
        <f t="shared" si="0"/>
        <v>3.2048872963018624</v>
      </c>
    </row>
    <row r="14" spans="1:7">
      <c r="A14" s="252">
        <f t="shared" si="1"/>
        <v>1991</v>
      </c>
      <c r="B14" s="67"/>
      <c r="C14" s="397">
        <v>2.2999999999999998</v>
      </c>
      <c r="D14" s="44"/>
      <c r="E14" s="44"/>
      <c r="F14" s="44"/>
      <c r="G14" s="30">
        <f t="shared" si="0"/>
        <v>3.132832156697813</v>
      </c>
    </row>
    <row r="15" spans="1:7">
      <c r="A15" s="252">
        <f t="shared" si="1"/>
        <v>1992</v>
      </c>
      <c r="B15" s="67"/>
      <c r="C15" s="397">
        <v>4.7</v>
      </c>
      <c r="D15" s="44"/>
      <c r="E15" s="44"/>
      <c r="F15" s="44"/>
      <c r="G15" s="30">
        <f t="shared" si="0"/>
        <v>2.9921988125098502</v>
      </c>
    </row>
    <row r="16" spans="1:7">
      <c r="A16" s="252">
        <f t="shared" si="1"/>
        <v>1993</v>
      </c>
      <c r="B16" s="67"/>
      <c r="C16" s="397">
        <v>1.2</v>
      </c>
      <c r="D16" s="44"/>
      <c r="E16" s="44"/>
      <c r="F16" s="44"/>
      <c r="G16" s="30">
        <f t="shared" si="0"/>
        <v>2.9567181941796941</v>
      </c>
    </row>
    <row r="17" spans="1:7">
      <c r="A17" s="252">
        <f t="shared" si="1"/>
        <v>1994</v>
      </c>
      <c r="B17" s="67"/>
      <c r="C17" s="397">
        <v>1.7999999999999998</v>
      </c>
      <c r="D17" s="44"/>
      <c r="E17" s="44"/>
      <c r="F17" s="44"/>
      <c r="G17" s="30">
        <f t="shared" si="0"/>
        <v>2.9044383046951809</v>
      </c>
    </row>
    <row r="18" spans="1:7">
      <c r="A18" s="252">
        <f t="shared" si="1"/>
        <v>1995</v>
      </c>
      <c r="B18" s="67"/>
      <c r="C18" s="397">
        <v>2.9000000000000004</v>
      </c>
      <c r="D18" s="44"/>
      <c r="E18" s="44"/>
      <c r="F18" s="44"/>
      <c r="G18" s="30">
        <f t="shared" si="0"/>
        <v>2.8225833864870564</v>
      </c>
    </row>
    <row r="19" spans="1:7">
      <c r="A19" s="252">
        <f t="shared" si="1"/>
        <v>1996</v>
      </c>
      <c r="B19" s="67"/>
      <c r="C19" s="397">
        <v>3.4000000000000004</v>
      </c>
      <c r="D19" s="44"/>
      <c r="E19" s="44"/>
      <c r="F19" s="44"/>
      <c r="G19" s="30">
        <f t="shared" si="0"/>
        <v>2.7297711668153348</v>
      </c>
    </row>
    <row r="20" spans="1:7">
      <c r="A20" s="252">
        <f t="shared" si="1"/>
        <v>1997</v>
      </c>
      <c r="B20" s="67"/>
      <c r="C20" s="397">
        <v>4.7</v>
      </c>
      <c r="D20" s="44"/>
      <c r="E20" s="44"/>
      <c r="F20" s="44"/>
      <c r="G20" s="30">
        <f t="shared" si="0"/>
        <v>2.6072312959076744</v>
      </c>
    </row>
    <row r="21" spans="1:7">
      <c r="A21" s="252">
        <f t="shared" si="1"/>
        <v>1998</v>
      </c>
      <c r="B21" s="67"/>
      <c r="C21" s="397">
        <v>5.2</v>
      </c>
      <c r="D21" s="44"/>
      <c r="E21" s="44"/>
      <c r="F21" s="44"/>
      <c r="G21" s="30">
        <f t="shared" si="0"/>
        <v>2.4783567451593864</v>
      </c>
    </row>
    <row r="22" spans="1:7">
      <c r="A22" s="252">
        <f t="shared" si="1"/>
        <v>1999</v>
      </c>
      <c r="B22" s="67"/>
      <c r="C22" s="397">
        <v>6.2</v>
      </c>
      <c r="D22" s="44"/>
      <c r="E22" s="44"/>
      <c r="F22" s="44"/>
      <c r="G22" s="30">
        <f t="shared" si="0"/>
        <v>2.3336692515625108</v>
      </c>
    </row>
    <row r="23" spans="1:7">
      <c r="A23" s="252">
        <f t="shared" si="1"/>
        <v>2000</v>
      </c>
      <c r="B23" s="67"/>
      <c r="C23" s="397">
        <v>9</v>
      </c>
      <c r="D23" s="44"/>
      <c r="E23" s="44"/>
      <c r="F23" s="44"/>
      <c r="G23" s="30">
        <f t="shared" si="0"/>
        <v>2.1409809647362481</v>
      </c>
    </row>
    <row r="24" spans="1:7">
      <c r="A24" s="252">
        <f t="shared" si="1"/>
        <v>2001</v>
      </c>
      <c r="B24" s="67"/>
      <c r="C24" s="397">
        <v>0.6</v>
      </c>
      <c r="D24" s="44"/>
      <c r="E24" s="44"/>
      <c r="F24" s="44"/>
      <c r="G24" s="30">
        <f t="shared" si="0"/>
        <v>2.1282116945688352</v>
      </c>
    </row>
    <row r="25" spans="1:7">
      <c r="A25" s="252">
        <f t="shared" si="1"/>
        <v>2002</v>
      </c>
      <c r="B25" s="67"/>
      <c r="C25" s="397">
        <v>1.0999999999999999</v>
      </c>
      <c r="D25" s="44"/>
      <c r="E25" s="44"/>
      <c r="F25" s="44"/>
      <c r="G25" s="30">
        <f t="shared" si="0"/>
        <v>2.1050560777139817</v>
      </c>
    </row>
    <row r="26" spans="1:7">
      <c r="A26" s="252">
        <f t="shared" si="1"/>
        <v>2003</v>
      </c>
      <c r="B26" s="67"/>
      <c r="C26" s="397">
        <v>3.5999999999999996</v>
      </c>
      <c r="D26" s="44"/>
      <c r="E26" s="44"/>
      <c r="F26" s="44"/>
      <c r="G26" s="30">
        <f t="shared" si="0"/>
        <v>2.0319074109208319</v>
      </c>
    </row>
    <row r="27" spans="1:7">
      <c r="A27" s="252">
        <f t="shared" si="1"/>
        <v>2004</v>
      </c>
      <c r="B27" s="67"/>
      <c r="C27" s="397">
        <v>5</v>
      </c>
      <c r="D27" s="44"/>
      <c r="E27" s="44"/>
      <c r="F27" s="44"/>
      <c r="G27" s="30">
        <f t="shared" si="0"/>
        <v>1.935149915162697</v>
      </c>
    </row>
    <row r="28" spans="1:7">
      <c r="A28" s="252">
        <f t="shared" si="1"/>
        <v>2005</v>
      </c>
      <c r="B28" s="67"/>
      <c r="C28" s="397">
        <v>3.2</v>
      </c>
      <c r="D28" s="44"/>
      <c r="E28" s="44"/>
      <c r="F28" s="44"/>
      <c r="G28" s="30">
        <f t="shared" si="0"/>
        <v>1.8751452666305202</v>
      </c>
    </row>
    <row r="29" spans="1:7">
      <c r="A29" s="252">
        <f t="shared" si="1"/>
        <v>2006</v>
      </c>
      <c r="B29" s="67"/>
      <c r="C29" s="397">
        <v>4.5999999999999996</v>
      </c>
      <c r="D29" s="44"/>
      <c r="E29" s="44"/>
      <c r="F29" s="44"/>
      <c r="G29" s="30">
        <f t="shared" si="0"/>
        <v>1.7926818992643596</v>
      </c>
    </row>
    <row r="30" spans="1:7">
      <c r="A30" s="252">
        <f t="shared" si="1"/>
        <v>2007</v>
      </c>
      <c r="B30" s="67"/>
      <c r="C30" s="397">
        <v>4.5</v>
      </c>
      <c r="D30" s="44"/>
      <c r="E30" s="44"/>
      <c r="F30" s="44"/>
      <c r="G30" s="30">
        <f t="shared" si="0"/>
        <v>1.7154850710663729</v>
      </c>
    </row>
    <row r="31" spans="1:7">
      <c r="A31" s="252">
        <f t="shared" si="1"/>
        <v>2008</v>
      </c>
      <c r="B31" s="67"/>
      <c r="C31" s="397">
        <v>2.1</v>
      </c>
      <c r="D31" s="44"/>
      <c r="E31" s="44"/>
      <c r="F31" s="44"/>
      <c r="G31" s="30">
        <f t="shared" si="0"/>
        <v>1.6802008531502186</v>
      </c>
    </row>
    <row r="32" spans="1:7">
      <c r="A32" s="252">
        <f t="shared" si="1"/>
        <v>2009</v>
      </c>
      <c r="B32" s="67"/>
      <c r="C32" s="397">
        <v>0.5</v>
      </c>
      <c r="D32" s="44"/>
      <c r="E32" s="44"/>
      <c r="F32" s="44"/>
      <c r="G32" s="30">
        <f t="shared" si="0"/>
        <v>1.6718416449255908</v>
      </c>
    </row>
    <row r="33" spans="1:7">
      <c r="A33" s="252">
        <f t="shared" si="1"/>
        <v>2010</v>
      </c>
      <c r="B33" s="67"/>
      <c r="C33" s="397">
        <v>3</v>
      </c>
      <c r="D33" s="44"/>
      <c r="E33" s="44"/>
      <c r="F33" s="44"/>
      <c r="G33" s="30">
        <f t="shared" si="0"/>
        <v>1.6231472280830979</v>
      </c>
    </row>
    <row r="34" spans="1:7">
      <c r="A34" s="252">
        <f t="shared" si="1"/>
        <v>2011</v>
      </c>
      <c r="B34" s="67"/>
      <c r="C34" s="397">
        <v>3</v>
      </c>
      <c r="D34" s="44"/>
      <c r="E34" s="44"/>
      <c r="F34" s="44"/>
      <c r="G34" s="30">
        <f t="shared" si="0"/>
        <v>1.5758710952263086</v>
      </c>
    </row>
    <row r="35" spans="1:7">
      <c r="A35" s="252">
        <f t="shared" si="1"/>
        <v>2012</v>
      </c>
      <c r="B35" s="67"/>
      <c r="C35" s="397">
        <v>4.2</v>
      </c>
      <c r="D35" s="44"/>
      <c r="E35" s="44"/>
      <c r="F35" s="44"/>
      <c r="G35" s="30">
        <f t="shared" si="0"/>
        <v>1.5123522986816782</v>
      </c>
    </row>
    <row r="36" spans="1:7">
      <c r="A36" s="252">
        <f t="shared" si="1"/>
        <v>2013</v>
      </c>
      <c r="B36" s="67"/>
      <c r="C36" s="397">
        <v>0.70000000000000007</v>
      </c>
      <c r="D36" s="44"/>
      <c r="E36" s="44"/>
      <c r="F36" s="44"/>
      <c r="G36" s="30">
        <f t="shared" si="0"/>
        <v>1.5018394227226199</v>
      </c>
    </row>
    <row r="37" spans="1:7">
      <c r="A37" s="252">
        <f t="shared" si="1"/>
        <v>2014</v>
      </c>
      <c r="B37" s="67"/>
      <c r="C37" s="397">
        <v>3.3000000000000003</v>
      </c>
      <c r="D37" s="44"/>
      <c r="E37" s="44"/>
      <c r="F37" s="44"/>
      <c r="G37" s="30">
        <f t="shared" si="0"/>
        <v>1.4538619774662342</v>
      </c>
    </row>
    <row r="38" spans="1:7">
      <c r="A38" s="252">
        <f t="shared" si="1"/>
        <v>2015</v>
      </c>
      <c r="B38" s="67"/>
      <c r="C38" s="397">
        <v>4.5</v>
      </c>
      <c r="D38" s="44"/>
      <c r="E38" s="44"/>
      <c r="F38" s="44"/>
      <c r="G38" s="30">
        <f t="shared" si="0"/>
        <v>1.3912554808289324</v>
      </c>
    </row>
    <row r="39" spans="1:7">
      <c r="A39" s="252">
        <f t="shared" si="1"/>
        <v>2016</v>
      </c>
      <c r="B39" s="67"/>
      <c r="C39" s="397">
        <v>1.9</v>
      </c>
      <c r="D39" s="44"/>
      <c r="E39" s="44"/>
      <c r="F39" s="44"/>
      <c r="G39" s="30">
        <f t="shared" si="0"/>
        <v>1.3653145052295705</v>
      </c>
    </row>
    <row r="40" spans="1:7">
      <c r="A40" s="252">
        <f t="shared" si="1"/>
        <v>2017</v>
      </c>
      <c r="B40" s="323"/>
      <c r="C40" s="397">
        <v>4.3</v>
      </c>
      <c r="D40" s="44"/>
      <c r="E40" s="44"/>
      <c r="F40" s="44"/>
      <c r="G40" s="30">
        <f t="shared" si="0"/>
        <v>1.3090263712651684</v>
      </c>
    </row>
    <row r="41" spans="1:7">
      <c r="A41" s="252">
        <f t="shared" si="1"/>
        <v>2018</v>
      </c>
      <c r="B41" s="323"/>
      <c r="C41" s="397">
        <v>3.6999999999999997</v>
      </c>
      <c r="D41" s="44"/>
      <c r="E41" s="44"/>
      <c r="F41" s="44"/>
      <c r="G41" s="30">
        <f t="shared" si="0"/>
        <v>1.2623205123097092</v>
      </c>
    </row>
    <row r="42" spans="1:7">
      <c r="A42" s="252">
        <f t="shared" si="1"/>
        <v>2019</v>
      </c>
      <c r="B42" s="323"/>
      <c r="C42" s="397">
        <v>4.3</v>
      </c>
      <c r="D42" s="44"/>
      <c r="E42" s="44"/>
      <c r="F42" s="44"/>
      <c r="G42" s="384">
        <f>G43*(1+E43/100)</f>
        <v>1.210278535292147</v>
      </c>
    </row>
    <row r="43" spans="1:7">
      <c r="A43" s="252">
        <f t="shared" si="1"/>
        <v>2020</v>
      </c>
      <c r="B43" s="323"/>
      <c r="C43" s="397">
        <v>11.4</v>
      </c>
      <c r="D43" s="44"/>
      <c r="E43" s="397">
        <v>5.0999999999999996</v>
      </c>
      <c r="F43" s="44"/>
      <c r="G43" s="384">
        <f>G44*(1+E44/100)</f>
        <v>1.1515495102684559</v>
      </c>
    </row>
    <row r="44" spans="1:7">
      <c r="A44" s="252">
        <f t="shared" si="1"/>
        <v>2021</v>
      </c>
      <c r="B44" s="44"/>
      <c r="C44" s="397">
        <v>8</v>
      </c>
      <c r="D44" s="44"/>
      <c r="E44" s="397">
        <v>6.34</v>
      </c>
      <c r="F44" s="44"/>
      <c r="G44" s="384">
        <f>(1+E47/100)*(1+E48/100)*(1+E49/100)</f>
        <v>1.08289402884</v>
      </c>
    </row>
    <row r="45" spans="1:7">
      <c r="A45" s="110"/>
      <c r="B45" s="323"/>
      <c r="C45" s="397"/>
      <c r="D45" s="110"/>
      <c r="E45" s="397"/>
      <c r="F45" s="110"/>
      <c r="G45" s="57"/>
    </row>
    <row r="46" spans="1:7">
      <c r="A46" s="39" t="s">
        <v>338</v>
      </c>
      <c r="B46" s="110"/>
      <c r="C46" s="396"/>
      <c r="D46" s="110"/>
      <c r="E46" s="397"/>
      <c r="F46" s="110"/>
      <c r="G46" s="110"/>
    </row>
    <row r="47" spans="1:7">
      <c r="A47" s="39">
        <f>A44+1</f>
        <v>2022</v>
      </c>
      <c r="B47" s="44"/>
      <c r="C47" s="397">
        <v>2.7</v>
      </c>
      <c r="D47" s="110"/>
      <c r="E47" s="397">
        <v>4.91</v>
      </c>
      <c r="F47" s="110"/>
      <c r="G47" s="29"/>
    </row>
    <row r="48" spans="1:7">
      <c r="A48" s="39">
        <f>A47+1</f>
        <v>2023</v>
      </c>
      <c r="B48" s="44"/>
      <c r="C48" s="397">
        <v>2</v>
      </c>
      <c r="D48" s="110"/>
      <c r="E48" s="397">
        <v>2.81</v>
      </c>
      <c r="F48" s="110"/>
      <c r="G48" s="29"/>
    </row>
    <row r="49" spans="1:7">
      <c r="A49" s="58" t="s">
        <v>528</v>
      </c>
      <c r="B49" s="44"/>
      <c r="C49" s="397">
        <v>0.33333333333333331</v>
      </c>
      <c r="D49" s="396" t="s">
        <v>535</v>
      </c>
      <c r="E49" s="397">
        <v>0.4</v>
      </c>
      <c r="F49" s="396" t="s">
        <v>536</v>
      </c>
      <c r="G49" s="44"/>
    </row>
    <row r="50" spans="1:7">
      <c r="A50" s="39"/>
      <c r="B50" s="44"/>
      <c r="C50" s="324"/>
      <c r="D50" s="44"/>
      <c r="E50" s="44"/>
      <c r="F50" s="44"/>
      <c r="G50" s="57"/>
    </row>
    <row r="51" spans="1:7" ht="53.1" customHeight="1">
      <c r="A51" s="42" t="s">
        <v>22</v>
      </c>
      <c r="B51" s="521" t="s">
        <v>537</v>
      </c>
      <c r="C51" s="521"/>
      <c r="D51" s="521"/>
      <c r="E51" s="521"/>
      <c r="F51" s="521"/>
      <c r="G51" s="521"/>
    </row>
    <row r="52" spans="1:7" ht="42" customHeight="1">
      <c r="A52" s="31" t="s">
        <v>28</v>
      </c>
      <c r="B52" s="539" t="s">
        <v>538</v>
      </c>
      <c r="C52" s="539"/>
      <c r="D52" s="539"/>
      <c r="E52" s="539"/>
      <c r="F52" s="539"/>
      <c r="G52" s="539"/>
    </row>
    <row r="53" spans="1:7">
      <c r="A53" s="491" t="s">
        <v>488</v>
      </c>
      <c r="B53" s="347" t="s">
        <v>539</v>
      </c>
      <c r="C53" s="347"/>
      <c r="D53" s="347"/>
      <c r="E53" s="347"/>
      <c r="F53" s="347"/>
      <c r="G53" s="347"/>
    </row>
  </sheetData>
  <mergeCells count="2">
    <mergeCell ref="B51:G51"/>
    <mergeCell ref="B52:G52"/>
  </mergeCells>
  <pageMargins left="0.5" right="0.5" top="0.75" bottom="0.75" header="0.33" footer="0.33"/>
  <pageSetup scale="94" orientation="portrait" blackAndWhite="1" horizontalDpi="1200" verticalDpi="1200" r:id="rId1"/>
  <headerFooter scaleWithDoc="0">
    <oddHeader>&amp;R&amp;"Arial,Regular"&amp;10Exhibit 5.1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S61"/>
  <sheetViews>
    <sheetView zoomScaleNormal="100" workbookViewId="0"/>
  </sheetViews>
  <sheetFormatPr defaultColWidth="9.140625" defaultRowHeight="12.75"/>
  <cols>
    <col min="1" max="1" width="8.42578125" style="174" customWidth="1"/>
    <col min="2" max="2" width="4" style="174" customWidth="1"/>
    <col min="3" max="3" width="6" style="174" customWidth="1"/>
    <col min="4" max="6" width="7.140625" style="174" customWidth="1"/>
    <col min="7" max="7" width="8.140625" style="174" customWidth="1"/>
    <col min="8" max="8" width="7.140625" style="174" customWidth="1"/>
    <col min="9" max="9" width="11.7109375" style="174" customWidth="1"/>
    <col min="10" max="10" width="5.7109375" style="174" customWidth="1"/>
    <col min="11" max="11" width="6" style="174" customWidth="1"/>
    <col min="12" max="12" width="6.28515625" style="174" customWidth="1"/>
    <col min="13" max="13" width="9.7109375" style="174" customWidth="1"/>
    <col min="14" max="14" width="5.28515625" style="174" customWidth="1"/>
    <col min="15" max="15" width="8.140625" style="174" customWidth="1"/>
    <col min="16" max="16" width="7.140625" style="174" customWidth="1"/>
    <col min="17" max="17" width="6" style="174" customWidth="1"/>
    <col min="18" max="18" width="4.5703125" style="174" customWidth="1"/>
    <col min="19" max="19" width="11.28515625" style="174" bestFit="1" customWidth="1"/>
    <col min="20" max="16384" width="9.140625" style="174"/>
  </cols>
  <sheetData>
    <row r="1" spans="1:19" ht="16.149999999999999" customHeight="1">
      <c r="A1" s="183" t="s">
        <v>127</v>
      </c>
      <c r="B1" s="183"/>
      <c r="C1" s="183"/>
      <c r="D1" s="183"/>
      <c r="E1" s="183"/>
      <c r="F1" s="183"/>
      <c r="G1" s="183"/>
      <c r="H1" s="183"/>
      <c r="I1" s="183"/>
      <c r="J1" s="183"/>
      <c r="K1" s="183"/>
      <c r="L1" s="183"/>
      <c r="M1" s="183"/>
      <c r="N1" s="183"/>
      <c r="O1" s="183"/>
      <c r="P1" s="183"/>
      <c r="Q1" s="183"/>
      <c r="R1" s="183"/>
      <c r="S1" s="183"/>
    </row>
    <row r="2" spans="1:19" ht="16.149999999999999" customHeight="1">
      <c r="A2" s="177"/>
      <c r="B2" s="177"/>
      <c r="C2" s="177"/>
      <c r="D2" s="177"/>
      <c r="E2" s="177"/>
      <c r="F2" s="177"/>
      <c r="G2" s="177"/>
      <c r="H2" s="177"/>
      <c r="I2" s="177"/>
      <c r="J2" s="177"/>
      <c r="K2" s="177"/>
      <c r="L2" s="177"/>
      <c r="M2" s="177"/>
      <c r="N2" s="177"/>
      <c r="O2" s="177"/>
      <c r="P2" s="177"/>
      <c r="Q2" s="177"/>
      <c r="R2" s="177"/>
      <c r="S2" s="177"/>
    </row>
    <row r="3" spans="1:19" ht="16.149999999999999" customHeight="1">
      <c r="A3" s="177"/>
      <c r="B3" s="177"/>
      <c r="C3" s="27" t="s">
        <v>45</v>
      </c>
      <c r="D3" s="177"/>
      <c r="E3" s="40" t="s">
        <v>128</v>
      </c>
      <c r="F3" s="177"/>
      <c r="G3" s="40" t="s">
        <v>129</v>
      </c>
      <c r="H3" s="177"/>
      <c r="I3" s="40" t="s">
        <v>130</v>
      </c>
      <c r="J3" s="177"/>
      <c r="K3" s="27" t="s">
        <v>47</v>
      </c>
      <c r="L3" s="177"/>
      <c r="M3" s="27" t="s">
        <v>48</v>
      </c>
      <c r="N3" s="177"/>
      <c r="O3" s="27" t="s">
        <v>50</v>
      </c>
      <c r="P3" s="177"/>
      <c r="Q3" s="40" t="s">
        <v>51</v>
      </c>
      <c r="R3" s="177"/>
      <c r="S3" s="27" t="s">
        <v>131</v>
      </c>
    </row>
    <row r="4" spans="1:19" ht="16.149999999999999" customHeight="1">
      <c r="A4" s="177"/>
      <c r="B4" s="177"/>
      <c r="C4" s="177"/>
      <c r="D4" s="177"/>
      <c r="F4" s="177"/>
      <c r="G4" s="177"/>
      <c r="H4" s="177"/>
      <c r="I4" s="39" t="s">
        <v>83</v>
      </c>
      <c r="J4" s="177"/>
      <c r="K4" s="177"/>
      <c r="L4" s="177"/>
      <c r="M4" s="177"/>
      <c r="N4" s="177"/>
      <c r="O4" s="177"/>
      <c r="P4" s="177"/>
      <c r="Q4" s="177"/>
      <c r="R4" s="177"/>
      <c r="S4" s="31"/>
    </row>
    <row r="5" spans="1:19" ht="16.149999999999999" customHeight="1">
      <c r="A5" s="177"/>
      <c r="B5" s="177"/>
      <c r="C5" s="177"/>
      <c r="D5" s="177"/>
      <c r="E5" s="39" t="s">
        <v>132</v>
      </c>
      <c r="F5" s="177"/>
      <c r="G5" s="39" t="s">
        <v>133</v>
      </c>
      <c r="H5" s="177"/>
      <c r="I5" s="39" t="s">
        <v>134</v>
      </c>
      <c r="J5" s="177"/>
      <c r="K5" s="177"/>
      <c r="L5" s="177"/>
      <c r="M5" s="177"/>
      <c r="N5" s="177"/>
      <c r="O5" s="177" t="s">
        <v>135</v>
      </c>
      <c r="P5" s="177"/>
      <c r="Q5" s="177"/>
      <c r="R5" s="177"/>
      <c r="S5" s="177"/>
    </row>
    <row r="6" spans="1:19" ht="16.149999999999999" customHeight="1">
      <c r="A6" s="177"/>
      <c r="B6" s="177"/>
      <c r="C6" s="177"/>
      <c r="D6" s="177"/>
      <c r="E6" s="39" t="s">
        <v>136</v>
      </c>
      <c r="F6" s="177"/>
      <c r="G6" s="58" t="s">
        <v>137</v>
      </c>
      <c r="H6" s="177"/>
      <c r="I6" s="39" t="s">
        <v>138</v>
      </c>
      <c r="J6" s="177"/>
      <c r="K6" s="177"/>
      <c r="L6" s="177"/>
      <c r="M6" s="177"/>
      <c r="N6" s="177"/>
      <c r="O6" s="177" t="s">
        <v>139</v>
      </c>
      <c r="P6" s="27"/>
      <c r="Q6" s="39" t="s">
        <v>83</v>
      </c>
      <c r="R6" s="177"/>
      <c r="S6" s="177"/>
    </row>
    <row r="7" spans="1:19" ht="16.149999999999999" customHeight="1">
      <c r="A7" s="177"/>
      <c r="B7" s="177"/>
      <c r="C7" s="177"/>
      <c r="D7" s="177"/>
      <c r="E7" s="177" t="s">
        <v>140</v>
      </c>
      <c r="F7" s="177"/>
      <c r="G7" s="39" t="s">
        <v>141</v>
      </c>
      <c r="H7" s="177"/>
      <c r="I7" s="39" t="s">
        <v>141</v>
      </c>
      <c r="J7" s="177"/>
      <c r="K7" s="177" t="s">
        <v>142</v>
      </c>
      <c r="L7" s="177"/>
      <c r="M7" s="177"/>
      <c r="N7" s="177"/>
      <c r="O7" s="177" t="s">
        <v>143</v>
      </c>
      <c r="P7" s="177"/>
      <c r="Q7" s="39" t="s">
        <v>144</v>
      </c>
      <c r="R7" s="177"/>
      <c r="S7" s="177" t="s">
        <v>64</v>
      </c>
    </row>
    <row r="8" spans="1:19" ht="16.149999999999999" customHeight="1">
      <c r="A8" s="177"/>
      <c r="B8" s="177"/>
      <c r="C8" s="177" t="s">
        <v>82</v>
      </c>
      <c r="D8" s="177"/>
      <c r="E8" s="177" t="s">
        <v>145</v>
      </c>
      <c r="F8" s="177"/>
      <c r="G8" s="39" t="s">
        <v>146</v>
      </c>
      <c r="H8" s="177"/>
      <c r="I8" s="39" t="s">
        <v>147</v>
      </c>
      <c r="J8" s="177"/>
      <c r="K8" s="177" t="s">
        <v>148</v>
      </c>
      <c r="L8" s="177"/>
      <c r="M8" s="177" t="s">
        <v>149</v>
      </c>
      <c r="N8" s="177"/>
      <c r="O8" s="401" t="s">
        <v>542</v>
      </c>
      <c r="P8" s="177"/>
      <c r="Q8" s="39" t="s">
        <v>150</v>
      </c>
      <c r="R8" s="177"/>
      <c r="S8" s="177" t="s">
        <v>9</v>
      </c>
    </row>
    <row r="9" spans="1:19" ht="16.149999999999999" customHeight="1">
      <c r="A9" s="177" t="s">
        <v>151</v>
      </c>
      <c r="B9" s="177"/>
      <c r="C9" s="163" t="str">
        <f>'Exhibit 4.4'!A46</f>
        <v>9/1/2023</v>
      </c>
      <c r="D9" s="177"/>
      <c r="E9" s="39" t="s">
        <v>146</v>
      </c>
      <c r="F9" s="177"/>
      <c r="G9" s="177" t="s">
        <v>152</v>
      </c>
      <c r="H9" s="177"/>
      <c r="I9" s="39" t="s">
        <v>152</v>
      </c>
      <c r="J9" s="177"/>
      <c r="K9" s="177" t="s">
        <v>153</v>
      </c>
      <c r="L9" s="177"/>
      <c r="M9" s="177" t="s">
        <v>154</v>
      </c>
      <c r="N9" s="177"/>
      <c r="O9" s="177" t="s">
        <v>146</v>
      </c>
      <c r="P9" s="177"/>
      <c r="Q9" s="39" t="s">
        <v>155</v>
      </c>
      <c r="R9" s="177"/>
      <c r="S9" s="177" t="s">
        <v>142</v>
      </c>
    </row>
    <row r="10" spans="1:19" ht="16.149999999999999" customHeight="1">
      <c r="A10" s="26" t="s">
        <v>8</v>
      </c>
      <c r="B10" s="26"/>
      <c r="C10" s="26" t="s">
        <v>156</v>
      </c>
      <c r="D10" s="26"/>
      <c r="E10" s="41" t="s">
        <v>157</v>
      </c>
      <c r="F10" s="26"/>
      <c r="G10" s="41" t="s">
        <v>540</v>
      </c>
      <c r="H10" s="26"/>
      <c r="I10" s="41" t="s">
        <v>541</v>
      </c>
      <c r="J10" s="26"/>
      <c r="K10" s="26" t="s">
        <v>158</v>
      </c>
      <c r="L10" s="26"/>
      <c r="M10" s="26" t="s">
        <v>159</v>
      </c>
      <c r="N10" s="26"/>
      <c r="O10" s="70" t="s">
        <v>160</v>
      </c>
      <c r="P10" s="26"/>
      <c r="Q10" s="41" t="s">
        <v>161</v>
      </c>
      <c r="R10" s="26"/>
      <c r="S10" s="26" t="s">
        <v>162</v>
      </c>
    </row>
    <row r="11" spans="1:19" ht="16.149999999999999" customHeight="1">
      <c r="A11" s="177">
        <f>+'Exhibit 4.1'!B9</f>
        <v>1987</v>
      </c>
      <c r="B11" s="30"/>
      <c r="C11" s="30">
        <f>SUMIFS('Exhibit 5.1'!G:G,'Exhibit 5.1'!A:A,$A11)</f>
        <v>3.6642649447369644</v>
      </c>
      <c r="D11" s="30"/>
      <c r="E11" s="30" t="s">
        <v>32</v>
      </c>
      <c r="F11" s="30"/>
      <c r="G11" s="30" t="s">
        <v>32</v>
      </c>
      <c r="H11" s="30"/>
      <c r="I11" s="398">
        <v>0.54463077783948799</v>
      </c>
      <c r="J11" s="30"/>
      <c r="K11" s="398">
        <v>0.99199999999999999</v>
      </c>
      <c r="L11" s="398"/>
      <c r="M11" s="398">
        <v>0.98299999999999998</v>
      </c>
      <c r="N11" s="30"/>
      <c r="O11" s="398">
        <v>1.0149999999999999</v>
      </c>
      <c r="P11" s="30"/>
      <c r="Q11" s="30" t="s">
        <v>32</v>
      </c>
      <c r="R11" s="30"/>
      <c r="S11" s="30">
        <f t="shared" ref="S11:S38" si="0">(C11*I11*K11)/(M11*O11)</f>
        <v>1.9841804221775756</v>
      </c>
    </row>
    <row r="12" spans="1:19" ht="16.149999999999999" customHeight="1">
      <c r="A12" s="177">
        <f>+'Exhibit 4.1'!B10</f>
        <v>1988</v>
      </c>
      <c r="B12" s="30"/>
      <c r="C12" s="30">
        <f>SUMIFS('Exhibit 5.1'!G:G,'Exhibit 5.1'!A:A,$A12)</f>
        <v>3.5098323225449848</v>
      </c>
      <c r="D12" s="30"/>
      <c r="E12" s="30" t="s">
        <v>32</v>
      </c>
      <c r="F12" s="30"/>
      <c r="G12" s="30" t="s">
        <v>32</v>
      </c>
      <c r="H12" s="30"/>
      <c r="I12" s="398">
        <v>0.48762935546544511</v>
      </c>
      <c r="J12" s="30"/>
      <c r="K12" s="398">
        <v>0.99299999999999999</v>
      </c>
      <c r="L12" s="398"/>
      <c r="M12" s="398">
        <v>0.96299999999999997</v>
      </c>
      <c r="N12" s="30"/>
      <c r="O12" s="30">
        <f t="shared" ref="O12:O45" si="1">$O$11</f>
        <v>1.0149999999999999</v>
      </c>
      <c r="P12" s="30"/>
      <c r="Q12" s="30" t="s">
        <v>32</v>
      </c>
      <c r="R12" s="30"/>
      <c r="S12" s="30">
        <f t="shared" si="0"/>
        <v>1.7387339362539649</v>
      </c>
    </row>
    <row r="13" spans="1:19" ht="16.149999999999999" customHeight="1">
      <c r="A13" s="177">
        <f>+'Exhibit 4.1'!B11</f>
        <v>1989</v>
      </c>
      <c r="B13" s="30"/>
      <c r="C13" s="30">
        <f>SUMIFS('Exhibit 5.1'!G:G,'Exhibit 5.1'!A:A,$A13)</f>
        <v>3.3651316611169557</v>
      </c>
      <c r="D13" s="30"/>
      <c r="E13" s="30" t="s">
        <v>32</v>
      </c>
      <c r="F13" s="30"/>
      <c r="G13" s="30" t="s">
        <v>32</v>
      </c>
      <c r="H13" s="30"/>
      <c r="I13" s="398">
        <v>0.48005885405639259</v>
      </c>
      <c r="J13" s="30"/>
      <c r="K13" s="398">
        <v>0.99299999999999999</v>
      </c>
      <c r="L13" s="398"/>
      <c r="M13" s="398">
        <v>0.94499999999999995</v>
      </c>
      <c r="N13" s="30"/>
      <c r="O13" s="30">
        <f t="shared" si="1"/>
        <v>1.0149999999999999</v>
      </c>
      <c r="P13" s="30"/>
      <c r="Q13" s="30" t="s">
        <v>32</v>
      </c>
      <c r="R13" s="30"/>
      <c r="S13" s="30">
        <f t="shared" si="0"/>
        <v>1.6724299739273834</v>
      </c>
    </row>
    <row r="14" spans="1:19" ht="16.149999999999999" customHeight="1">
      <c r="A14" s="177">
        <f>+'Exhibit 4.1'!B12</f>
        <v>1990</v>
      </c>
      <c r="B14" s="30"/>
      <c r="C14" s="30">
        <f>SUMIFS('Exhibit 5.1'!G:G,'Exhibit 5.1'!A:A,$A14)</f>
        <v>3.2048872963018624</v>
      </c>
      <c r="D14" s="30"/>
      <c r="E14" s="30" t="s">
        <v>32</v>
      </c>
      <c r="F14" s="30"/>
      <c r="G14" s="30" t="s">
        <v>32</v>
      </c>
      <c r="H14" s="30"/>
      <c r="I14" s="398">
        <v>0.46803511652436791</v>
      </c>
      <c r="J14" s="30"/>
      <c r="K14" s="398">
        <v>0.99099999999999999</v>
      </c>
      <c r="L14" s="398"/>
      <c r="M14" s="398">
        <v>0.94199999999999995</v>
      </c>
      <c r="N14" s="30"/>
      <c r="O14" s="30">
        <f t="shared" si="1"/>
        <v>1.0149999999999999</v>
      </c>
      <c r="P14" s="30"/>
      <c r="Q14" s="30" t="s">
        <v>32</v>
      </c>
      <c r="R14" s="30"/>
      <c r="S14" s="30">
        <f t="shared" si="0"/>
        <v>1.5547046959927624</v>
      </c>
    </row>
    <row r="15" spans="1:19" ht="16.149999999999999" customHeight="1">
      <c r="A15" s="177">
        <f>+'Exhibit 4.1'!B13</f>
        <v>1991</v>
      </c>
      <c r="B15" s="30"/>
      <c r="C15" s="30">
        <f>SUMIFS('Exhibit 5.1'!G:G,'Exhibit 5.1'!A:A,$A15)</f>
        <v>3.132832156697813</v>
      </c>
      <c r="D15" s="30"/>
      <c r="E15" s="30" t="s">
        <v>32</v>
      </c>
      <c r="F15" s="30"/>
      <c r="G15" s="30" t="s">
        <v>32</v>
      </c>
      <c r="H15" s="30"/>
      <c r="I15" s="398">
        <v>0.43374519837748265</v>
      </c>
      <c r="J15" s="30"/>
      <c r="K15" s="398">
        <v>0.98699999999999999</v>
      </c>
      <c r="L15" s="398"/>
      <c r="M15" s="398">
        <v>0.93899999999999995</v>
      </c>
      <c r="N15" s="30"/>
      <c r="O15" s="30">
        <f t="shared" si="1"/>
        <v>1.0149999999999999</v>
      </c>
      <c r="P15" s="30"/>
      <c r="Q15" s="30" t="s">
        <v>32</v>
      </c>
      <c r="R15" s="30"/>
      <c r="S15" s="30">
        <f t="shared" si="0"/>
        <v>1.4072048595051614</v>
      </c>
    </row>
    <row r="16" spans="1:19" ht="16.149999999999999" customHeight="1">
      <c r="A16" s="177">
        <f>+'Exhibit 4.1'!B14</f>
        <v>1992</v>
      </c>
      <c r="B16" s="30"/>
      <c r="C16" s="30">
        <f>SUMIFS('Exhibit 5.1'!G:G,'Exhibit 5.1'!A:A,$A16)</f>
        <v>2.9921988125098502</v>
      </c>
      <c r="D16" s="30"/>
      <c r="E16" s="30" t="s">
        <v>32</v>
      </c>
      <c r="F16" s="30"/>
      <c r="G16" s="30" t="s">
        <v>32</v>
      </c>
      <c r="H16" s="30"/>
      <c r="I16" s="398">
        <v>0.41548693027329708</v>
      </c>
      <c r="J16" s="30"/>
      <c r="K16" s="398">
        <v>0.98199999999999998</v>
      </c>
      <c r="L16" s="398"/>
      <c r="M16" s="398">
        <v>0.94</v>
      </c>
      <c r="N16" s="30"/>
      <c r="O16" s="30">
        <f t="shared" si="1"/>
        <v>1.0149999999999999</v>
      </c>
      <c r="P16" s="30"/>
      <c r="Q16" s="30" t="s">
        <v>32</v>
      </c>
      <c r="R16" s="30"/>
      <c r="S16" s="30">
        <f t="shared" si="0"/>
        <v>1.2795739947472322</v>
      </c>
    </row>
    <row r="17" spans="1:19" ht="16.149999999999999" customHeight="1">
      <c r="A17" s="177">
        <f>+'Exhibit 4.1'!B15</f>
        <v>1993</v>
      </c>
      <c r="B17" s="30"/>
      <c r="C17" s="30">
        <f>SUMIFS('Exhibit 5.1'!G:G,'Exhibit 5.1'!A:A,$A17)</f>
        <v>2.9567181941796941</v>
      </c>
      <c r="D17" s="30"/>
      <c r="E17" s="30" t="s">
        <v>32</v>
      </c>
      <c r="F17" s="30"/>
      <c r="G17" s="30" t="s">
        <v>32</v>
      </c>
      <c r="H17" s="30"/>
      <c r="I17" s="398">
        <v>0.41103369415032498</v>
      </c>
      <c r="J17" s="30"/>
      <c r="K17" s="398">
        <v>0.98099999999999998</v>
      </c>
      <c r="L17" s="398"/>
      <c r="M17" s="398">
        <v>0.94899999999999995</v>
      </c>
      <c r="N17" s="30"/>
      <c r="O17" s="30">
        <f t="shared" si="1"/>
        <v>1.0149999999999999</v>
      </c>
      <c r="P17" s="30"/>
      <c r="Q17" s="30" t="s">
        <v>32</v>
      </c>
      <c r="R17" s="30"/>
      <c r="S17" s="30">
        <f t="shared" si="0"/>
        <v>1.2377248508191354</v>
      </c>
    </row>
    <row r="18" spans="1:19" ht="16.149999999999999" customHeight="1">
      <c r="A18" s="177">
        <f>+'Exhibit 4.1'!B16</f>
        <v>1994</v>
      </c>
      <c r="B18" s="30"/>
      <c r="C18" s="30">
        <f>SUMIFS('Exhibit 5.1'!G:G,'Exhibit 5.1'!A:A,$A18)</f>
        <v>2.9044383046951809</v>
      </c>
      <c r="D18" s="30"/>
      <c r="E18" s="30" t="s">
        <v>32</v>
      </c>
      <c r="F18" s="30"/>
      <c r="G18" s="30" t="s">
        <v>32</v>
      </c>
      <c r="H18" s="30"/>
      <c r="I18" s="398">
        <v>0.47026173458585391</v>
      </c>
      <c r="J18" s="30"/>
      <c r="K18" s="398">
        <v>0.98599999999999999</v>
      </c>
      <c r="L18" s="398"/>
      <c r="M18" s="398">
        <v>0.94799999999999995</v>
      </c>
      <c r="N18" s="30"/>
      <c r="O18" s="30">
        <f t="shared" si="1"/>
        <v>1.0149999999999999</v>
      </c>
      <c r="P18" s="30"/>
      <c r="Q18" s="30" t="s">
        <v>32</v>
      </c>
      <c r="R18" s="30"/>
      <c r="S18" s="30">
        <f t="shared" si="0"/>
        <v>1.3996012849777215</v>
      </c>
    </row>
    <row r="19" spans="1:19" ht="16.149999999999999" customHeight="1">
      <c r="A19" s="177">
        <f>+'Exhibit 4.1'!B17</f>
        <v>1995</v>
      </c>
      <c r="B19" s="30"/>
      <c r="C19" s="30">
        <f>SUMIFS('Exhibit 5.1'!G:G,'Exhibit 5.1'!A:A,$A19)</f>
        <v>2.8225833864870564</v>
      </c>
      <c r="D19" s="30"/>
      <c r="E19" s="30" t="s">
        <v>32</v>
      </c>
      <c r="F19" s="30"/>
      <c r="G19" s="30" t="s">
        <v>32</v>
      </c>
      <c r="H19" s="30"/>
      <c r="I19" s="398">
        <v>0.63640395850892173</v>
      </c>
      <c r="J19" s="30"/>
      <c r="K19" s="398">
        <v>0.995</v>
      </c>
      <c r="L19" s="398"/>
      <c r="M19" s="398">
        <v>0.95799999999999996</v>
      </c>
      <c r="N19" s="30"/>
      <c r="O19" s="30">
        <f t="shared" si="1"/>
        <v>1.0149999999999999</v>
      </c>
      <c r="P19" s="30"/>
      <c r="Q19" s="30" t="s">
        <v>32</v>
      </c>
      <c r="R19" s="30"/>
      <c r="S19" s="30">
        <f t="shared" si="0"/>
        <v>1.8381086666392128</v>
      </c>
    </row>
    <row r="20" spans="1:19" ht="16.149999999999999" customHeight="1">
      <c r="A20" s="177">
        <f>+'Exhibit 4.1'!B18</f>
        <v>1996</v>
      </c>
      <c r="B20" s="30"/>
      <c r="C20" s="30">
        <f>SUMIFS('Exhibit 5.1'!G:G,'Exhibit 5.1'!A:A,$A20)</f>
        <v>2.7297711668153348</v>
      </c>
      <c r="D20" s="30"/>
      <c r="E20" s="398">
        <v>1.0229999999999999</v>
      </c>
      <c r="F20" s="398"/>
      <c r="G20" s="398">
        <v>0.6761268478400273</v>
      </c>
      <c r="H20" s="30"/>
      <c r="I20" s="30">
        <f>G20/E20</f>
        <v>0.66092555996092606</v>
      </c>
      <c r="J20" s="30"/>
      <c r="K20" s="398">
        <v>1</v>
      </c>
      <c r="L20" s="398"/>
      <c r="M20" s="398">
        <v>0.93500000000000005</v>
      </c>
      <c r="N20" s="30"/>
      <c r="O20" s="30">
        <f t="shared" si="1"/>
        <v>1.0149999999999999</v>
      </c>
      <c r="P20" s="30"/>
      <c r="Q20" s="30" t="s">
        <v>32</v>
      </c>
      <c r="R20" s="30"/>
      <c r="S20" s="30">
        <f t="shared" si="0"/>
        <v>1.9010832559654547</v>
      </c>
    </row>
    <row r="21" spans="1:19" ht="16.149999999999999" customHeight="1">
      <c r="A21" s="177">
        <f>+'Exhibit 4.1'!B19</f>
        <v>1997</v>
      </c>
      <c r="B21" s="30"/>
      <c r="C21" s="30">
        <f>SUMIFS('Exhibit 5.1'!G:G,'Exhibit 5.1'!A:A,$A21)</f>
        <v>2.6072312959076744</v>
      </c>
      <c r="D21" s="30"/>
      <c r="E21" s="398">
        <v>0.98899999999999999</v>
      </c>
      <c r="F21" s="398"/>
      <c r="G21" s="398">
        <v>0.67454069351570578</v>
      </c>
      <c r="H21" s="30"/>
      <c r="I21" s="30">
        <f t="shared" ref="I21:I41" si="2">G21/E21</f>
        <v>0.68204316836775103</v>
      </c>
      <c r="J21" s="30"/>
      <c r="K21" s="398">
        <v>1</v>
      </c>
      <c r="L21" s="398"/>
      <c r="M21" s="398">
        <v>0.94899999999999995</v>
      </c>
      <c r="N21" s="30"/>
      <c r="O21" s="30">
        <f t="shared" si="1"/>
        <v>1.0149999999999999</v>
      </c>
      <c r="P21" s="30"/>
      <c r="Q21" s="30" t="s">
        <v>32</v>
      </c>
      <c r="R21" s="30"/>
      <c r="S21" s="30">
        <f t="shared" si="0"/>
        <v>1.8461167770361626</v>
      </c>
    </row>
    <row r="22" spans="1:19" ht="16.149999999999999" customHeight="1">
      <c r="A22" s="177">
        <f>+'Exhibit 4.1'!B20</f>
        <v>1998</v>
      </c>
      <c r="B22" s="30"/>
      <c r="C22" s="30">
        <f>SUMIFS('Exhibit 5.1'!G:G,'Exhibit 5.1'!A:A,$A22)</f>
        <v>2.4783567451593864</v>
      </c>
      <c r="D22" s="30"/>
      <c r="E22" s="398">
        <v>0.96499999999999997</v>
      </c>
      <c r="F22" s="398"/>
      <c r="G22" s="398">
        <v>0.70262176116841424</v>
      </c>
      <c r="H22" s="30"/>
      <c r="I22" s="30">
        <f t="shared" si="2"/>
        <v>0.72810545198799403</v>
      </c>
      <c r="J22" s="30"/>
      <c r="K22" s="398">
        <v>1</v>
      </c>
      <c r="L22" s="398"/>
      <c r="M22" s="398">
        <v>0.95899999999999996</v>
      </c>
      <c r="N22" s="30"/>
      <c r="O22" s="30">
        <f t="shared" si="1"/>
        <v>1.0149999999999999</v>
      </c>
      <c r="P22" s="30"/>
      <c r="Q22" s="30" t="s">
        <v>32</v>
      </c>
      <c r="R22" s="30"/>
      <c r="S22" s="30">
        <f t="shared" si="0"/>
        <v>1.853845146701222</v>
      </c>
    </row>
    <row r="23" spans="1:19" ht="16.149999999999999" customHeight="1">
      <c r="A23" s="177">
        <f>+'Exhibit 4.1'!B21</f>
        <v>1999</v>
      </c>
      <c r="B23" s="30"/>
      <c r="C23" s="30">
        <f>SUMIFS('Exhibit 5.1'!G:G,'Exhibit 5.1'!A:A,$A23)</f>
        <v>2.3336692515625108</v>
      </c>
      <c r="D23" s="30"/>
      <c r="E23" s="398">
        <v>0.97199999999999998</v>
      </c>
      <c r="F23" s="398"/>
      <c r="G23" s="398">
        <v>0.71015905080401387</v>
      </c>
      <c r="H23" s="30"/>
      <c r="I23" s="30">
        <f t="shared" si="2"/>
        <v>0.73061630741153694</v>
      </c>
      <c r="J23" s="30"/>
      <c r="K23" s="398">
        <v>1</v>
      </c>
      <c r="L23" s="398"/>
      <c r="M23" s="398">
        <v>0.95399999999999996</v>
      </c>
      <c r="N23" s="30"/>
      <c r="O23" s="30">
        <f t="shared" si="1"/>
        <v>1.0149999999999999</v>
      </c>
      <c r="P23" s="30"/>
      <c r="Q23" s="30" t="s">
        <v>32</v>
      </c>
      <c r="R23" s="30"/>
      <c r="S23" s="30">
        <f t="shared" si="0"/>
        <v>1.7608171053654791</v>
      </c>
    </row>
    <row r="24" spans="1:19" ht="16.149999999999999" customHeight="1">
      <c r="A24" s="177">
        <f>+'Exhibit 4.1'!B22</f>
        <v>2000</v>
      </c>
      <c r="B24" s="30"/>
      <c r="C24" s="30">
        <f>SUMIFS('Exhibit 5.1'!G:G,'Exhibit 5.1'!A:A,$A24)</f>
        <v>2.1409809647362481</v>
      </c>
      <c r="D24" s="30"/>
      <c r="E24" s="398">
        <v>1.0049999999999999</v>
      </c>
      <c r="F24" s="398"/>
      <c r="G24" s="398">
        <v>0.64395478461652944</v>
      </c>
      <c r="H24" s="30"/>
      <c r="I24" s="30">
        <f t="shared" si="2"/>
        <v>0.64075102946918361</v>
      </c>
      <c r="J24" s="30"/>
      <c r="K24" s="398">
        <v>1</v>
      </c>
      <c r="L24" s="398"/>
      <c r="M24" s="398">
        <v>0.97</v>
      </c>
      <c r="N24" s="30"/>
      <c r="O24" s="30">
        <f t="shared" si="1"/>
        <v>1.0149999999999999</v>
      </c>
      <c r="P24" s="30"/>
      <c r="Q24" s="30" t="s">
        <v>32</v>
      </c>
      <c r="R24" s="30"/>
      <c r="S24" s="30">
        <f t="shared" si="0"/>
        <v>1.3933632189616341</v>
      </c>
    </row>
    <row r="25" spans="1:19" ht="16.149999999999999" customHeight="1">
      <c r="A25" s="177">
        <f>+'Exhibit 4.1'!B23</f>
        <v>2001</v>
      </c>
      <c r="B25" s="71"/>
      <c r="C25" s="30">
        <f>SUMIFS('Exhibit 5.1'!G:G,'Exhibit 5.1'!A:A,$A25)</f>
        <v>2.1282116945688352</v>
      </c>
      <c r="D25" s="30"/>
      <c r="E25" s="398">
        <v>1.03</v>
      </c>
      <c r="F25" s="398"/>
      <c r="G25" s="398">
        <v>0.56710485180305015</v>
      </c>
      <c r="H25" s="30"/>
      <c r="I25" s="30">
        <f t="shared" si="2"/>
        <v>0.55058723476024285</v>
      </c>
      <c r="J25" s="30"/>
      <c r="K25" s="398">
        <v>1</v>
      </c>
      <c r="L25" s="398"/>
      <c r="M25" s="398">
        <v>0.96899999999999997</v>
      </c>
      <c r="N25" s="30"/>
      <c r="O25" s="30">
        <f t="shared" si="1"/>
        <v>1.0149999999999999</v>
      </c>
      <c r="P25" s="30"/>
      <c r="Q25" s="30" t="s">
        <v>32</v>
      </c>
      <c r="R25" s="30"/>
      <c r="S25" s="30">
        <f t="shared" si="0"/>
        <v>1.1913823014911169</v>
      </c>
    </row>
    <row r="26" spans="1:19" ht="16.149999999999999" customHeight="1">
      <c r="A26" s="177">
        <f>+'Exhibit 4.1'!B24</f>
        <v>2002</v>
      </c>
      <c r="B26" s="71"/>
      <c r="C26" s="30">
        <f>SUMIFS('Exhibit 5.1'!G:G,'Exhibit 5.1'!A:A,$A26)</f>
        <v>2.1050560777139817</v>
      </c>
      <c r="D26" s="30"/>
      <c r="E26" s="398">
        <v>1.157</v>
      </c>
      <c r="F26" s="398"/>
      <c r="G26" s="398">
        <v>0.50756279587145425</v>
      </c>
      <c r="H26" s="30"/>
      <c r="I26" s="30">
        <f t="shared" si="2"/>
        <v>0.43868867404620071</v>
      </c>
      <c r="J26" s="30"/>
      <c r="K26" s="398">
        <v>1</v>
      </c>
      <c r="L26" s="398"/>
      <c r="M26" s="398">
        <v>0.99099999999999999</v>
      </c>
      <c r="N26" s="30"/>
      <c r="O26" s="30">
        <f t="shared" si="1"/>
        <v>1.0149999999999999</v>
      </c>
      <c r="P26" s="30"/>
      <c r="Q26" s="30" t="s">
        <v>32</v>
      </c>
      <c r="R26" s="30"/>
      <c r="S26" s="30">
        <f t="shared" si="0"/>
        <v>0.9180797219559711</v>
      </c>
    </row>
    <row r="27" spans="1:19" ht="16.149999999999999" customHeight="1">
      <c r="A27" s="177">
        <f>+'Exhibit 4.1'!B25</f>
        <v>2003</v>
      </c>
      <c r="B27" s="71"/>
      <c r="C27" s="30">
        <f>SUMIFS('Exhibit 5.1'!G:G,'Exhibit 5.1'!A:A,$A27)</f>
        <v>2.0319074109208319</v>
      </c>
      <c r="D27" s="30"/>
      <c r="E27" s="398">
        <v>1.266</v>
      </c>
      <c r="F27" s="398"/>
      <c r="G27" s="398">
        <v>0.41545370491913369</v>
      </c>
      <c r="H27" s="30"/>
      <c r="I27" s="30">
        <f t="shared" si="2"/>
        <v>0.32816248413833626</v>
      </c>
      <c r="J27" s="30"/>
      <c r="K27" s="398">
        <v>1</v>
      </c>
      <c r="L27" s="398"/>
      <c r="M27" s="398">
        <v>1.0049999999999999</v>
      </c>
      <c r="N27" s="30"/>
      <c r="O27" s="30">
        <f t="shared" si="1"/>
        <v>1.0149999999999999</v>
      </c>
      <c r="P27" s="30"/>
      <c r="Q27" s="30" t="s">
        <v>32</v>
      </c>
      <c r="R27" s="30"/>
      <c r="S27" s="30">
        <f t="shared" si="0"/>
        <v>0.65367329216663039</v>
      </c>
    </row>
    <row r="28" spans="1:19" ht="16.149999999999999" customHeight="1">
      <c r="A28" s="177">
        <f>+'Exhibit 4.1'!B26</f>
        <v>2004</v>
      </c>
      <c r="B28" s="71"/>
      <c r="C28" s="30">
        <f>SUMIFS('Exhibit 5.1'!G:G,'Exhibit 5.1'!A:A,$A28)</f>
        <v>1.935149915162697</v>
      </c>
      <c r="D28" s="30"/>
      <c r="E28" s="398">
        <v>1.397</v>
      </c>
      <c r="F28" s="398"/>
      <c r="G28" s="398">
        <v>0.42255138111355856</v>
      </c>
      <c r="H28" s="30"/>
      <c r="I28" s="30">
        <f t="shared" si="2"/>
        <v>0.30247056629460167</v>
      </c>
      <c r="J28" s="30"/>
      <c r="K28" s="398">
        <v>1</v>
      </c>
      <c r="L28" s="398"/>
      <c r="M28" s="398">
        <v>0.98099999999999998</v>
      </c>
      <c r="N28" s="30"/>
      <c r="O28" s="30">
        <f t="shared" si="1"/>
        <v>1.0149999999999999</v>
      </c>
      <c r="P28" s="30"/>
      <c r="Q28" s="30" t="s">
        <v>32</v>
      </c>
      <c r="R28" s="30"/>
      <c r="S28" s="30">
        <f t="shared" si="0"/>
        <v>0.58784480569662145</v>
      </c>
    </row>
    <row r="29" spans="1:19" ht="16.149999999999999" customHeight="1">
      <c r="A29" s="177">
        <f>+'Exhibit 4.1'!B27</f>
        <v>2005</v>
      </c>
      <c r="B29" s="71"/>
      <c r="C29" s="30">
        <f>SUMIFS('Exhibit 5.1'!G:G,'Exhibit 5.1'!A:A,$A29)</f>
        <v>1.8751452666305202</v>
      </c>
      <c r="D29" s="30"/>
      <c r="E29" s="398">
        <v>1.470176442342519</v>
      </c>
      <c r="F29" s="398"/>
      <c r="G29" s="398">
        <v>0.5084236218402467</v>
      </c>
      <c r="H29" s="30"/>
      <c r="I29" s="30">
        <f t="shared" si="2"/>
        <v>0.34582490046578718</v>
      </c>
      <c r="J29" s="30"/>
      <c r="K29" s="398">
        <v>1</v>
      </c>
      <c r="L29" s="398"/>
      <c r="M29" s="398">
        <v>0.98199999999999998</v>
      </c>
      <c r="N29" s="30"/>
      <c r="O29" s="30">
        <f t="shared" si="1"/>
        <v>1.0149999999999999</v>
      </c>
      <c r="P29" s="30"/>
      <c r="Q29" s="30" t="s">
        <v>32</v>
      </c>
      <c r="R29" s="30"/>
      <c r="S29" s="30">
        <f t="shared" si="0"/>
        <v>0.6505993851809333</v>
      </c>
    </row>
    <row r="30" spans="1:19" ht="16.149999999999999" customHeight="1">
      <c r="A30" s="177">
        <f>+'Exhibit 4.1'!B28</f>
        <v>2006</v>
      </c>
      <c r="B30" s="71"/>
      <c r="C30" s="30">
        <f>SUMIFS('Exhibit 5.1'!G:G,'Exhibit 5.1'!A:A,$A30)</f>
        <v>1.7926818992643596</v>
      </c>
      <c r="D30" s="71"/>
      <c r="E30" s="398">
        <v>1.446723079453571</v>
      </c>
      <c r="F30" s="398"/>
      <c r="G30" s="398">
        <v>0.65511253685988191</v>
      </c>
      <c r="H30" s="71"/>
      <c r="I30" s="30">
        <f t="shared" si="2"/>
        <v>0.45282510949318555</v>
      </c>
      <c r="J30" s="71"/>
      <c r="K30" s="398">
        <v>1</v>
      </c>
      <c r="L30" s="399"/>
      <c r="M30" s="398">
        <v>0.95599999999999996</v>
      </c>
      <c r="N30" s="71"/>
      <c r="O30" s="30">
        <f t="shared" si="1"/>
        <v>1.0149999999999999</v>
      </c>
      <c r="P30" s="30"/>
      <c r="Q30" s="30" t="s">
        <v>32</v>
      </c>
      <c r="R30" s="71"/>
      <c r="S30" s="30">
        <f t="shared" si="0"/>
        <v>0.83658447278359704</v>
      </c>
    </row>
    <row r="31" spans="1:19" ht="16.149999999999999" customHeight="1">
      <c r="A31" s="177">
        <f>+'Exhibit 4.1'!B29</f>
        <v>2007</v>
      </c>
      <c r="B31" s="71"/>
      <c r="C31" s="30">
        <f>SUMIFS('Exhibit 5.1'!G:G,'Exhibit 5.1'!A:A,$A31)</f>
        <v>1.7154850710663729</v>
      </c>
      <c r="D31" s="71"/>
      <c r="E31" s="398">
        <v>1.4927586030520217</v>
      </c>
      <c r="F31" s="398"/>
      <c r="G31" s="398">
        <v>0.8925586114687375</v>
      </c>
      <c r="H31" s="71"/>
      <c r="I31" s="30">
        <f t="shared" si="2"/>
        <v>0.59792561881328676</v>
      </c>
      <c r="J31" s="71"/>
      <c r="K31" s="398">
        <v>1</v>
      </c>
      <c r="L31" s="399"/>
      <c r="M31" s="398">
        <v>0.93100000000000005</v>
      </c>
      <c r="N31" s="71"/>
      <c r="O31" s="30">
        <f t="shared" si="1"/>
        <v>1.0149999999999999</v>
      </c>
      <c r="P31" s="30"/>
      <c r="Q31" s="398">
        <v>0.98499999999999999</v>
      </c>
      <c r="R31" s="71"/>
      <c r="S31" s="30">
        <f>(C31*I31*K31*Q31)/(M31*O31)</f>
        <v>1.069189319807698</v>
      </c>
    </row>
    <row r="32" spans="1:19" ht="16.149999999999999" customHeight="1">
      <c r="A32" s="177">
        <f>+'Exhibit 4.1'!B30</f>
        <v>2008</v>
      </c>
      <c r="B32" s="71"/>
      <c r="C32" s="30">
        <f>SUMIFS('Exhibit 5.1'!G:G,'Exhibit 5.1'!A:A,$A32)</f>
        <v>1.6802008531502186</v>
      </c>
      <c r="D32" s="71"/>
      <c r="E32" s="398">
        <v>1.4261129520160045</v>
      </c>
      <c r="F32" s="398"/>
      <c r="G32" s="398">
        <v>1.0622857276694355</v>
      </c>
      <c r="H32" s="71"/>
      <c r="I32" s="30">
        <f t="shared" si="2"/>
        <v>0.74488190165284607</v>
      </c>
      <c r="J32" s="71"/>
      <c r="K32" s="398">
        <v>1</v>
      </c>
      <c r="L32" s="399"/>
      <c r="M32" s="398">
        <v>0.94599999999999995</v>
      </c>
      <c r="N32" s="71"/>
      <c r="O32" s="30">
        <f t="shared" si="1"/>
        <v>1.0149999999999999</v>
      </c>
      <c r="P32" s="30"/>
      <c r="Q32" s="398">
        <v>0.99099999999999999</v>
      </c>
      <c r="R32" s="71"/>
      <c r="S32" s="30">
        <f>(C32*I32*K32*Q32)/(M32*O32)</f>
        <v>1.29171023005175</v>
      </c>
    </row>
    <row r="33" spans="1:19" ht="16.149999999999999" customHeight="1">
      <c r="A33" s="177">
        <f>+'Exhibit 4.1'!B31</f>
        <v>2009</v>
      </c>
      <c r="B33" s="71"/>
      <c r="C33" s="30">
        <f>SUMIFS('Exhibit 5.1'!G:G,'Exhibit 5.1'!A:A,$A33)</f>
        <v>1.6718416449255908</v>
      </c>
      <c r="D33" s="71"/>
      <c r="E33" s="398">
        <v>1.3655621011652161</v>
      </c>
      <c r="F33" s="398"/>
      <c r="G33" s="398">
        <v>1.0469474523833182</v>
      </c>
      <c r="H33" s="71"/>
      <c r="I33" s="30">
        <f t="shared" si="2"/>
        <v>0.76667875557616294</v>
      </c>
      <c r="J33" s="71"/>
      <c r="K33" s="398">
        <v>1</v>
      </c>
      <c r="L33" s="399"/>
      <c r="M33" s="398">
        <v>0.93700000000000006</v>
      </c>
      <c r="N33" s="71"/>
      <c r="O33" s="30">
        <f t="shared" si="1"/>
        <v>1.0149999999999999</v>
      </c>
      <c r="P33" s="30"/>
      <c r="Q33" s="398">
        <v>1.034</v>
      </c>
      <c r="R33" s="71"/>
      <c r="S33" s="30">
        <f>(C33*I33*K33*Q33)/(M33*O33)</f>
        <v>1.3935529468799639</v>
      </c>
    </row>
    <row r="34" spans="1:19" ht="16.149999999999999" customHeight="1">
      <c r="A34" s="177">
        <f>+'Exhibit 4.1'!B32</f>
        <v>2010</v>
      </c>
      <c r="B34" s="71"/>
      <c r="C34" s="30">
        <f>SUMIFS('Exhibit 5.1'!G:G,'Exhibit 5.1'!A:A,$A34)</f>
        <v>1.6231472280830979</v>
      </c>
      <c r="D34" s="71"/>
      <c r="E34" s="398">
        <v>1.383443284983209</v>
      </c>
      <c r="F34" s="398"/>
      <c r="G34" s="398">
        <v>1.0262462946446835</v>
      </c>
      <c r="H34" s="71"/>
      <c r="I34" s="30">
        <f t="shared" si="2"/>
        <v>0.74180583026729507</v>
      </c>
      <c r="J34" s="71"/>
      <c r="K34" s="398">
        <v>1</v>
      </c>
      <c r="L34" s="399"/>
      <c r="M34" s="398">
        <v>0.94099999999999995</v>
      </c>
      <c r="N34" s="71"/>
      <c r="O34" s="30">
        <f t="shared" si="1"/>
        <v>1.0149999999999999</v>
      </c>
      <c r="P34" s="30"/>
      <c r="Q34" s="398">
        <v>1.0049999999999999</v>
      </c>
      <c r="R34" s="71"/>
      <c r="S34" s="30">
        <f>(C34*I34*K34*Q34)/(M34*O34)</f>
        <v>1.2669473074552406</v>
      </c>
    </row>
    <row r="35" spans="1:19" ht="16.149999999999999" customHeight="1">
      <c r="A35" s="177">
        <f>+'Exhibit 4.1'!B33</f>
        <v>2011</v>
      </c>
      <c r="B35" s="71"/>
      <c r="C35" s="30">
        <f>SUMIFS('Exhibit 5.1'!G:G,'Exhibit 5.1'!A:A,$A35)</f>
        <v>1.5758710952263086</v>
      </c>
      <c r="D35" s="71"/>
      <c r="E35" s="398">
        <v>1.4009957984879522</v>
      </c>
      <c r="F35" s="398"/>
      <c r="G35" s="398">
        <v>1.0252672195891439</v>
      </c>
      <c r="H35" s="71"/>
      <c r="I35" s="30">
        <f t="shared" si="2"/>
        <v>0.73181320079309331</v>
      </c>
      <c r="J35" s="71"/>
      <c r="K35" s="398">
        <v>1</v>
      </c>
      <c r="L35" s="399"/>
      <c r="M35" s="398">
        <v>0.98199999999999998</v>
      </c>
      <c r="N35" s="71"/>
      <c r="O35" s="30">
        <f t="shared" si="1"/>
        <v>1.0149999999999999</v>
      </c>
      <c r="P35" s="30"/>
      <c r="Q35" s="45" t="s">
        <v>32</v>
      </c>
      <c r="R35" s="71"/>
      <c r="S35" s="30">
        <f t="shared" si="0"/>
        <v>1.1570267476998612</v>
      </c>
    </row>
    <row r="36" spans="1:19" ht="16.149999999999999" customHeight="1">
      <c r="A36" s="177">
        <f>+'Exhibit 4.1'!B34</f>
        <v>2012</v>
      </c>
      <c r="B36" s="71"/>
      <c r="C36" s="30">
        <f>SUMIFS('Exhibit 5.1'!G:G,'Exhibit 5.1'!A:A,$A36)</f>
        <v>1.5123522986816782</v>
      </c>
      <c r="D36" s="71"/>
      <c r="E36" s="398">
        <v>1.2230987679508474</v>
      </c>
      <c r="F36" s="398"/>
      <c r="G36" s="398">
        <v>0.84519047918017709</v>
      </c>
      <c r="H36" s="71"/>
      <c r="I36" s="30">
        <f t="shared" si="2"/>
        <v>0.69102389874547132</v>
      </c>
      <c r="J36" s="71"/>
      <c r="K36" s="398">
        <v>1</v>
      </c>
      <c r="L36" s="399"/>
      <c r="M36" s="398">
        <v>1</v>
      </c>
      <c r="N36" s="71"/>
      <c r="O36" s="30">
        <f t="shared" si="1"/>
        <v>1.0149999999999999</v>
      </c>
      <c r="P36" s="30"/>
      <c r="Q36" s="30" t="s">
        <v>32</v>
      </c>
      <c r="R36" s="71"/>
      <c r="S36" s="30">
        <f t="shared" si="0"/>
        <v>1.0296271741001861</v>
      </c>
    </row>
    <row r="37" spans="1:19" ht="16.149999999999999" customHeight="1">
      <c r="A37" s="177">
        <f>+'Exhibit 4.1'!B35</f>
        <v>2013</v>
      </c>
      <c r="B37" s="71"/>
      <c r="C37" s="30">
        <f>SUMIFS('Exhibit 5.1'!G:G,'Exhibit 5.1'!A:A,$A37)</f>
        <v>1.5018394227226199</v>
      </c>
      <c r="D37" s="71"/>
      <c r="E37" s="398">
        <v>1.1382336460063744</v>
      </c>
      <c r="F37" s="398"/>
      <c r="G37" s="398">
        <v>0.68049480307148869</v>
      </c>
      <c r="H37" s="71"/>
      <c r="I37" s="30">
        <f t="shared" si="2"/>
        <v>0.597851597041683</v>
      </c>
      <c r="J37" s="71"/>
      <c r="K37" s="398">
        <v>1</v>
      </c>
      <c r="L37" s="399"/>
      <c r="M37" s="398">
        <v>0.98299999999999998</v>
      </c>
      <c r="N37" s="71"/>
      <c r="O37" s="30">
        <f t="shared" si="1"/>
        <v>1.0149999999999999</v>
      </c>
      <c r="P37" s="30"/>
      <c r="Q37" s="30" t="s">
        <v>32</v>
      </c>
      <c r="R37" s="71"/>
      <c r="S37" s="30">
        <f t="shared" si="0"/>
        <v>0.89990638627593</v>
      </c>
    </row>
    <row r="38" spans="1:19" ht="16.149999999999999" customHeight="1">
      <c r="A38" s="177">
        <f>+'Exhibit 4.1'!B36</f>
        <v>2014</v>
      </c>
      <c r="B38" s="71"/>
      <c r="C38" s="30">
        <f>SUMIFS('Exhibit 5.1'!G:G,'Exhibit 5.1'!A:A,$A38)</f>
        <v>1.4538619774662342</v>
      </c>
      <c r="D38" s="71"/>
      <c r="E38" s="398">
        <v>1.1272850069453022</v>
      </c>
      <c r="F38" s="398"/>
      <c r="G38" s="398">
        <v>0.62693663824569301</v>
      </c>
      <c r="H38" s="71"/>
      <c r="I38" s="30">
        <f t="shared" si="2"/>
        <v>0.55614741115430544</v>
      </c>
      <c r="J38" s="71"/>
      <c r="K38" s="398">
        <v>1</v>
      </c>
      <c r="L38" s="399"/>
      <c r="M38" s="398">
        <v>0.96099999999999997</v>
      </c>
      <c r="N38" s="71"/>
      <c r="O38" s="30">
        <f t="shared" si="1"/>
        <v>1.0149999999999999</v>
      </c>
      <c r="P38" s="30"/>
      <c r="Q38" s="30" t="s">
        <v>32</v>
      </c>
      <c r="R38" s="71"/>
      <c r="S38" s="30">
        <f t="shared" si="0"/>
        <v>0.8289410916825406</v>
      </c>
    </row>
    <row r="39" spans="1:19" ht="16.149999999999999" customHeight="1">
      <c r="A39" s="177">
        <f>+'Exhibit 4.1'!B37</f>
        <v>2015</v>
      </c>
      <c r="B39" s="71"/>
      <c r="C39" s="30">
        <f>SUMIFS('Exhibit 5.1'!G:G,'Exhibit 5.1'!A:A,$A39)</f>
        <v>1.3912554808289324</v>
      </c>
      <c r="D39" s="71"/>
      <c r="E39" s="398">
        <v>1.1096014690419178</v>
      </c>
      <c r="F39" s="398"/>
      <c r="G39" s="398">
        <v>0.60918219837686494</v>
      </c>
      <c r="H39" s="71"/>
      <c r="I39" s="30">
        <f t="shared" si="2"/>
        <v>0.54900990614482648</v>
      </c>
      <c r="J39" s="71"/>
      <c r="K39" s="398">
        <v>1</v>
      </c>
      <c r="L39" s="399"/>
      <c r="M39" s="398">
        <v>0.95099999999999996</v>
      </c>
      <c r="N39" s="71"/>
      <c r="O39" s="30">
        <f t="shared" si="1"/>
        <v>1.0149999999999999</v>
      </c>
      <c r="P39" s="30"/>
      <c r="Q39" s="30" t="s">
        <v>32</v>
      </c>
      <c r="R39" s="71"/>
      <c r="S39" s="30">
        <f>(C39*I39*K39)/(M39*O39)</f>
        <v>0.79129880494306504</v>
      </c>
    </row>
    <row r="40" spans="1:19" ht="16.149999999999999" customHeight="1">
      <c r="A40" s="177">
        <f>+'Exhibit 4.1'!B38</f>
        <v>2016</v>
      </c>
      <c r="B40" s="71"/>
      <c r="C40" s="30">
        <f>SUMIFS('Exhibit 5.1'!G:G,'Exhibit 5.1'!A:A,$A40)</f>
        <v>1.3653145052295705</v>
      </c>
      <c r="D40" s="71"/>
      <c r="E40" s="398">
        <v>1.14923634797398</v>
      </c>
      <c r="F40" s="398"/>
      <c r="G40" s="398">
        <v>0.6628301578409489</v>
      </c>
      <c r="H40" s="71"/>
      <c r="I40" s="30">
        <f t="shared" si="2"/>
        <v>0.57675704306557152</v>
      </c>
      <c r="J40" s="71"/>
      <c r="K40" s="398">
        <v>1</v>
      </c>
      <c r="L40" s="399"/>
      <c r="M40" s="398">
        <v>0.94899999999999995</v>
      </c>
      <c r="N40" s="71"/>
      <c r="O40" s="30">
        <f t="shared" si="1"/>
        <v>1.0149999999999999</v>
      </c>
      <c r="P40" s="30"/>
      <c r="Q40" s="30" t="s">
        <v>32</v>
      </c>
      <c r="R40" s="71"/>
      <c r="S40" s="30">
        <f>(C40*I40*K40)/(M40*O40)</f>
        <v>0.81751053158444298</v>
      </c>
    </row>
    <row r="41" spans="1:19" s="204" customFormat="1" ht="16.149999999999999" customHeight="1">
      <c r="A41" s="206">
        <f>+'Exhibit 4.1'!B39</f>
        <v>2017</v>
      </c>
      <c r="B41" s="71"/>
      <c r="C41" s="30">
        <f>SUMIFS('Exhibit 5.1'!G:G,'Exhibit 5.1'!A:A,$A41)</f>
        <v>1.3090263712651684</v>
      </c>
      <c r="D41" s="71"/>
      <c r="E41" s="398">
        <v>1.1571648554843881</v>
      </c>
      <c r="F41" s="398"/>
      <c r="G41" s="398">
        <v>0.73392953321542165</v>
      </c>
      <c r="H41" s="71"/>
      <c r="I41" s="30">
        <f t="shared" si="2"/>
        <v>0.63424803279926734</v>
      </c>
      <c r="J41" s="71"/>
      <c r="K41" s="398">
        <v>1</v>
      </c>
      <c r="L41" s="399"/>
      <c r="M41" s="398">
        <v>0.95499999999999996</v>
      </c>
      <c r="N41" s="71"/>
      <c r="O41" s="30">
        <f t="shared" si="1"/>
        <v>1.0149999999999999</v>
      </c>
      <c r="P41" s="30"/>
      <c r="Q41" s="30" t="s">
        <v>32</v>
      </c>
      <c r="R41" s="71"/>
      <c r="S41" s="30">
        <f>(C41*I41*K41)/(M41*O41)</f>
        <v>0.85652118830866486</v>
      </c>
    </row>
    <row r="42" spans="1:19" s="284" customFormat="1" ht="16.149999999999999" customHeight="1">
      <c r="A42" s="252">
        <f>+'Exhibit 4.1'!B40</f>
        <v>2018</v>
      </c>
      <c r="B42" s="71"/>
      <c r="C42" s="30">
        <f>SUMIFS('Exhibit 5.1'!G:G,'Exhibit 5.1'!A:A,$A42)</f>
        <v>1.2623205123097092</v>
      </c>
      <c r="D42" s="71"/>
      <c r="E42" s="398">
        <v>1.1968142737532153</v>
      </c>
      <c r="F42" s="398"/>
      <c r="G42" s="398">
        <v>0.82965963732263848</v>
      </c>
      <c r="H42" s="71"/>
      <c r="I42" s="30">
        <f t="shared" ref="I42:I45" si="3">G42/E42</f>
        <v>0.69322338103540648</v>
      </c>
      <c r="J42" s="71"/>
      <c r="K42" s="398">
        <v>1</v>
      </c>
      <c r="L42" s="399"/>
      <c r="M42" s="398">
        <v>0.95599999999999996</v>
      </c>
      <c r="N42" s="71"/>
      <c r="O42" s="30">
        <f t="shared" si="1"/>
        <v>1.0149999999999999</v>
      </c>
      <c r="P42" s="30"/>
      <c r="Q42" s="30" t="s">
        <v>32</v>
      </c>
      <c r="R42" s="71"/>
      <c r="S42" s="30">
        <f t="shared" ref="S42" si="4">(C42*I42*K42)/(M42*O42)</f>
        <v>0.90181801584360444</v>
      </c>
    </row>
    <row r="43" spans="1:19" s="466" customFormat="1" ht="16.149999999999999" customHeight="1">
      <c r="A43" s="252">
        <f>+'Exhibit 4.1'!B41</f>
        <v>2019</v>
      </c>
      <c r="B43" s="71"/>
      <c r="C43" s="30">
        <f>SUMIFS('Exhibit 5.1'!G:G,'Exhibit 5.1'!A:A,$A43)</f>
        <v>1.210278535292147</v>
      </c>
      <c r="D43" s="71"/>
      <c r="E43" s="398">
        <v>1.2161434012160344</v>
      </c>
      <c r="F43" s="398"/>
      <c r="G43" s="398">
        <v>0.96418588232109115</v>
      </c>
      <c r="H43" s="71"/>
      <c r="I43" s="30">
        <f t="shared" si="3"/>
        <v>0.79282252517013352</v>
      </c>
      <c r="J43" s="71"/>
      <c r="K43" s="398">
        <v>1</v>
      </c>
      <c r="L43" s="399"/>
      <c r="M43" s="398">
        <v>0.94499999999999995</v>
      </c>
      <c r="N43" s="71"/>
      <c r="O43" s="30">
        <f t="shared" si="1"/>
        <v>1.0149999999999999</v>
      </c>
      <c r="P43" s="30"/>
      <c r="Q43" s="30" t="s">
        <v>32</v>
      </c>
      <c r="R43" s="71"/>
      <c r="S43" s="30">
        <f t="shared" ref="S43" si="5">(C43*I43*K43)/(M43*O43)</f>
        <v>1.0003764532119068</v>
      </c>
    </row>
    <row r="44" spans="1:19" s="502" customFormat="1" ht="16.149999999999999" customHeight="1">
      <c r="A44" s="252">
        <f>+'Exhibit 4.1'!B42</f>
        <v>2020</v>
      </c>
      <c r="B44" s="71"/>
      <c r="C44" s="30">
        <f>SUMIFS('Exhibit 5.1'!G:G,'Exhibit 5.1'!A:A,$A44)</f>
        <v>1.1515495102684559</v>
      </c>
      <c r="D44" s="71"/>
      <c r="E44" s="398">
        <v>1.2058504713968934</v>
      </c>
      <c r="F44" s="398"/>
      <c r="G44" s="398">
        <v>1.0749718184266164</v>
      </c>
      <c r="H44" s="71"/>
      <c r="I44" s="30">
        <f t="shared" si="3"/>
        <v>0.89146361337930791</v>
      </c>
      <c r="J44" s="71"/>
      <c r="K44" s="398">
        <v>1</v>
      </c>
      <c r="L44" s="399"/>
      <c r="M44" s="398">
        <v>0.94399999999999995</v>
      </c>
      <c r="N44" s="71"/>
      <c r="O44" s="30">
        <f t="shared" si="1"/>
        <v>1.0149999999999999</v>
      </c>
      <c r="P44" s="30"/>
      <c r="Q44" s="398">
        <v>0.99</v>
      </c>
      <c r="R44" s="71"/>
      <c r="S44" s="30">
        <f t="shared" ref="S44:S45" si="6">(C44*I44*K44*Q44)/(M44*O44)</f>
        <v>1.0606775930272596</v>
      </c>
    </row>
    <row r="45" spans="1:19" s="294" customFormat="1" ht="16.149999999999999" customHeight="1">
      <c r="A45" s="252">
        <f>+'Exhibit 4.1'!B43</f>
        <v>2021</v>
      </c>
      <c r="B45" s="71"/>
      <c r="C45" s="30">
        <f>SUMIFS('Exhibit 5.1'!G:G,'Exhibit 5.1'!A:A,$A45)</f>
        <v>1.08289402884</v>
      </c>
      <c r="D45" s="71"/>
      <c r="E45" s="398">
        <v>1.2219456315956603</v>
      </c>
      <c r="F45" s="398"/>
      <c r="G45" s="398">
        <v>1.1578027144759868</v>
      </c>
      <c r="H45" s="71"/>
      <c r="I45" s="30">
        <f t="shared" si="3"/>
        <v>0.94750755233200246</v>
      </c>
      <c r="J45" s="71"/>
      <c r="K45" s="398">
        <v>1</v>
      </c>
      <c r="L45" s="399"/>
      <c r="M45" s="398">
        <v>0.95</v>
      </c>
      <c r="N45" s="71"/>
      <c r="O45" s="30">
        <f t="shared" si="1"/>
        <v>1.0149999999999999</v>
      </c>
      <c r="P45" s="30"/>
      <c r="Q45" s="398">
        <v>1.0249999999999999</v>
      </c>
      <c r="R45" s="71"/>
      <c r="S45" s="30">
        <f t="shared" si="6"/>
        <v>1.0906938319612731</v>
      </c>
    </row>
    <row r="46" spans="1:19" ht="16.149999999999999" customHeight="1">
      <c r="A46" s="177"/>
      <c r="B46" s="177"/>
      <c r="C46" s="31"/>
      <c r="D46" s="31"/>
      <c r="E46" s="31"/>
      <c r="F46" s="31"/>
      <c r="G46" s="31"/>
      <c r="H46" s="31"/>
      <c r="I46" s="42"/>
      <c r="J46" s="31"/>
      <c r="K46" s="31"/>
      <c r="L46" s="31"/>
      <c r="M46" s="31"/>
      <c r="N46" s="31"/>
      <c r="O46" s="31"/>
      <c r="P46" s="31"/>
      <c r="Q46" s="31"/>
      <c r="R46" s="31"/>
      <c r="S46" s="31"/>
    </row>
    <row r="47" spans="1:19" ht="16.149999999999999" customHeight="1">
      <c r="A47" s="31" t="s">
        <v>22</v>
      </c>
      <c r="B47" s="51" t="s">
        <v>163</v>
      </c>
      <c r="C47" s="177"/>
      <c r="D47" s="177"/>
      <c r="E47" s="177"/>
      <c r="F47" s="177"/>
      <c r="G47" s="177"/>
      <c r="H47" s="177"/>
      <c r="I47" s="39"/>
      <c r="J47" s="177"/>
      <c r="K47" s="177"/>
      <c r="L47" s="177"/>
      <c r="M47" s="177"/>
      <c r="N47" s="177"/>
      <c r="O47" s="177"/>
      <c r="P47" s="177"/>
      <c r="Q47" s="177"/>
      <c r="R47" s="177"/>
      <c r="S47" s="177"/>
    </row>
    <row r="48" spans="1:19" ht="16.149999999999999" customHeight="1">
      <c r="A48" s="31" t="s">
        <v>28</v>
      </c>
      <c r="B48" s="536" t="s">
        <v>164</v>
      </c>
      <c r="C48" s="536"/>
      <c r="D48" s="536"/>
      <c r="E48" s="536"/>
      <c r="F48" s="536"/>
      <c r="G48" s="536"/>
      <c r="H48" s="536"/>
      <c r="I48" s="536"/>
      <c r="J48" s="536"/>
      <c r="K48" s="536"/>
      <c r="L48" s="536"/>
      <c r="M48" s="536"/>
      <c r="N48" s="536"/>
      <c r="O48" s="536"/>
      <c r="P48" s="536"/>
      <c r="Q48" s="536"/>
      <c r="R48" s="536"/>
      <c r="S48" s="536"/>
    </row>
    <row r="49" spans="1:19" ht="16.149999999999999" customHeight="1">
      <c r="A49" s="31"/>
      <c r="B49" s="536" t="s">
        <v>165</v>
      </c>
      <c r="C49" s="536"/>
      <c r="D49" s="536"/>
      <c r="E49" s="536"/>
      <c r="F49" s="536"/>
      <c r="G49" s="536"/>
      <c r="H49" s="536"/>
      <c r="I49" s="536"/>
      <c r="J49" s="536"/>
      <c r="K49" s="536"/>
      <c r="L49" s="536"/>
      <c r="M49" s="536"/>
      <c r="N49" s="536"/>
      <c r="O49" s="536"/>
      <c r="P49" s="536"/>
      <c r="Q49" s="536"/>
      <c r="R49" s="536"/>
      <c r="S49" s="536"/>
    </row>
    <row r="50" spans="1:19" ht="16.149999999999999" customHeight="1">
      <c r="A50" s="31" t="s">
        <v>38</v>
      </c>
      <c r="B50" s="541" t="s">
        <v>543</v>
      </c>
      <c r="C50" s="541"/>
      <c r="D50" s="541"/>
      <c r="E50" s="541"/>
      <c r="F50" s="541"/>
      <c r="G50" s="541"/>
      <c r="H50" s="541"/>
      <c r="I50" s="541"/>
      <c r="J50" s="541"/>
      <c r="K50" s="541"/>
      <c r="L50" s="541"/>
      <c r="M50" s="541"/>
      <c r="N50" s="541"/>
      <c r="O50" s="541"/>
      <c r="P50" s="541"/>
      <c r="Q50" s="541"/>
      <c r="R50" s="541"/>
      <c r="S50" s="541"/>
    </row>
    <row r="51" spans="1:19" ht="16.149999999999999" customHeight="1">
      <c r="A51" s="31"/>
      <c r="B51" s="72" t="s">
        <v>544</v>
      </c>
      <c r="C51" s="180"/>
      <c r="D51" s="180"/>
      <c r="E51" s="180"/>
      <c r="F51" s="180"/>
      <c r="G51" s="180"/>
      <c r="H51" s="180"/>
      <c r="I51" s="180"/>
      <c r="J51" s="180"/>
      <c r="K51" s="180"/>
      <c r="L51" s="180"/>
      <c r="M51" s="180"/>
      <c r="N51" s="180"/>
      <c r="O51" s="180"/>
      <c r="P51" s="180"/>
      <c r="Q51" s="180"/>
      <c r="R51" s="180"/>
      <c r="S51" s="180"/>
    </row>
    <row r="52" spans="1:19" ht="16.149999999999999" customHeight="1">
      <c r="A52" s="31"/>
      <c r="B52" s="541" t="s">
        <v>545</v>
      </c>
      <c r="C52" s="541"/>
      <c r="D52" s="541"/>
      <c r="E52" s="541"/>
      <c r="F52" s="541"/>
      <c r="G52" s="541"/>
      <c r="H52" s="541"/>
      <c r="I52" s="541"/>
      <c r="J52" s="541"/>
      <c r="K52" s="541"/>
      <c r="L52" s="541"/>
      <c r="M52" s="541"/>
      <c r="N52" s="541"/>
      <c r="O52" s="541"/>
      <c r="P52" s="541"/>
      <c r="Q52" s="541"/>
      <c r="R52" s="541"/>
      <c r="S52" s="541"/>
    </row>
    <row r="53" spans="1:19" ht="16.149999999999999" customHeight="1">
      <c r="A53" s="31" t="s">
        <v>57</v>
      </c>
      <c r="B53" s="49" t="s">
        <v>166</v>
      </c>
      <c r="C53" s="177"/>
      <c r="D53" s="177"/>
      <c r="E53" s="177"/>
      <c r="F53" s="177"/>
      <c r="G53" s="177"/>
      <c r="H53" s="177"/>
      <c r="I53" s="39"/>
      <c r="J53" s="177"/>
      <c r="K53" s="177"/>
      <c r="L53" s="177"/>
      <c r="M53" s="177"/>
      <c r="N53" s="177"/>
      <c r="O53" s="177"/>
      <c r="P53" s="177"/>
      <c r="Q53" s="177"/>
      <c r="R53" s="177"/>
      <c r="S53" s="177"/>
    </row>
    <row r="54" spans="1:19" ht="16.149999999999999" customHeight="1">
      <c r="A54" s="31"/>
      <c r="B54" s="49" t="s">
        <v>546</v>
      </c>
      <c r="C54" s="177"/>
      <c r="D54" s="177"/>
      <c r="E54" s="177"/>
      <c r="F54" s="177"/>
      <c r="G54" s="177"/>
      <c r="H54" s="177"/>
      <c r="I54" s="39"/>
      <c r="J54" s="177"/>
      <c r="K54" s="177"/>
      <c r="L54" s="177"/>
      <c r="M54" s="177"/>
      <c r="N54" s="177"/>
      <c r="O54" s="177"/>
      <c r="P54" s="177"/>
      <c r="Q54" s="177"/>
      <c r="R54" s="177"/>
      <c r="S54" s="177"/>
    </row>
    <row r="55" spans="1:19" ht="16.149999999999999" customHeight="1">
      <c r="A55" s="31" t="s">
        <v>41</v>
      </c>
      <c r="B55" s="49" t="s">
        <v>167</v>
      </c>
      <c r="C55" s="177"/>
      <c r="D55" s="177"/>
      <c r="E55" s="177"/>
      <c r="F55" s="177"/>
      <c r="G55" s="177"/>
      <c r="H55" s="177"/>
      <c r="I55" s="39"/>
      <c r="J55" s="177"/>
      <c r="K55" s="177"/>
      <c r="L55" s="177"/>
      <c r="M55" s="177"/>
      <c r="N55" s="177"/>
      <c r="O55" s="177"/>
      <c r="P55" s="177"/>
      <c r="Q55" s="177"/>
      <c r="R55" s="177"/>
      <c r="S55" s="177"/>
    </row>
    <row r="56" spans="1:19" ht="16.149999999999999" customHeight="1">
      <c r="A56" s="31" t="s">
        <v>76</v>
      </c>
      <c r="B56" s="540" t="s">
        <v>168</v>
      </c>
      <c r="C56" s="540"/>
      <c r="D56" s="540"/>
      <c r="E56" s="540"/>
      <c r="F56" s="540"/>
      <c r="G56" s="540"/>
      <c r="H56" s="540"/>
      <c r="I56" s="540"/>
      <c r="J56" s="540"/>
      <c r="K56" s="540"/>
      <c r="L56" s="540"/>
      <c r="M56" s="540"/>
      <c r="N56" s="540"/>
      <c r="O56" s="540"/>
      <c r="P56" s="540"/>
      <c r="Q56" s="540"/>
      <c r="R56" s="540"/>
      <c r="S56" s="540"/>
    </row>
    <row r="57" spans="1:19" ht="16.149999999999999" customHeight="1">
      <c r="A57" s="31"/>
      <c r="B57" s="540" t="s">
        <v>169</v>
      </c>
      <c r="C57" s="540"/>
      <c r="D57" s="540"/>
      <c r="E57" s="540"/>
      <c r="F57" s="540"/>
      <c r="G57" s="540"/>
      <c r="H57" s="540"/>
      <c r="I57" s="540"/>
      <c r="J57" s="540"/>
      <c r="K57" s="540"/>
      <c r="L57" s="540"/>
      <c r="M57" s="540"/>
      <c r="N57" s="540"/>
      <c r="O57" s="540"/>
      <c r="P57" s="540"/>
      <c r="Q57" s="540"/>
      <c r="R57" s="175"/>
      <c r="S57" s="175"/>
    </row>
    <row r="58" spans="1:19" ht="16.149999999999999" customHeight="1">
      <c r="A58" s="31" t="s">
        <v>170</v>
      </c>
      <c r="B58" s="49" t="s">
        <v>171</v>
      </c>
      <c r="C58" s="177"/>
      <c r="D58" s="177"/>
      <c r="E58" s="177"/>
      <c r="F58" s="177"/>
      <c r="G58" s="177"/>
      <c r="H58" s="177"/>
      <c r="I58" s="39"/>
      <c r="J58" s="177"/>
      <c r="K58" s="177"/>
      <c r="L58" s="177"/>
      <c r="M58" s="177"/>
      <c r="N58" s="177"/>
      <c r="O58" s="177"/>
      <c r="P58" s="177"/>
      <c r="Q58" s="177"/>
      <c r="R58" s="177"/>
      <c r="S58" s="177"/>
    </row>
    <row r="59" spans="1:19" ht="16.149999999999999" customHeight="1">
      <c r="A59" s="177"/>
      <c r="B59" s="49" t="s">
        <v>547</v>
      </c>
      <c r="C59" s="177"/>
      <c r="D59" s="177"/>
      <c r="E59" s="177"/>
      <c r="F59" s="177"/>
      <c r="G59" s="177"/>
      <c r="H59" s="177"/>
      <c r="I59" s="39"/>
      <c r="J59" s="177"/>
      <c r="K59" s="177"/>
      <c r="L59" s="177"/>
      <c r="M59" s="177"/>
      <c r="N59" s="177"/>
      <c r="O59" s="177"/>
      <c r="P59" s="177"/>
      <c r="Q59" s="177"/>
      <c r="R59" s="177"/>
      <c r="S59" s="177"/>
    </row>
    <row r="60" spans="1:19" ht="16.149999999999999" customHeight="1">
      <c r="A60" s="177"/>
      <c r="B60" s="49" t="s">
        <v>548</v>
      </c>
      <c r="C60" s="177"/>
      <c r="D60" s="177"/>
      <c r="E60" s="177"/>
      <c r="F60" s="177"/>
      <c r="G60" s="177"/>
      <c r="H60" s="177"/>
      <c r="I60" s="39"/>
      <c r="J60" s="177"/>
      <c r="K60" s="177"/>
      <c r="L60" s="177"/>
      <c r="M60" s="177"/>
      <c r="N60" s="177"/>
      <c r="O60" s="177"/>
      <c r="P60" s="177"/>
      <c r="Q60" s="177"/>
      <c r="R60" s="177"/>
      <c r="S60" s="177"/>
    </row>
    <row r="61" spans="1:19" ht="16.149999999999999" customHeight="1">
      <c r="A61" s="31" t="s">
        <v>172</v>
      </c>
      <c r="B61" s="49" t="s">
        <v>549</v>
      </c>
      <c r="C61" s="177"/>
      <c r="D61" s="177"/>
      <c r="E61" s="177"/>
      <c r="F61" s="177"/>
      <c r="G61" s="177"/>
      <c r="H61" s="177"/>
      <c r="I61" s="39"/>
      <c r="J61" s="177"/>
      <c r="K61" s="177"/>
      <c r="L61" s="177"/>
      <c r="M61" s="177"/>
      <c r="N61" s="177"/>
      <c r="O61" s="177"/>
      <c r="P61" s="177"/>
      <c r="Q61" s="177"/>
      <c r="R61" s="177"/>
      <c r="S61" s="177"/>
    </row>
  </sheetData>
  <mergeCells count="6">
    <mergeCell ref="B56:S56"/>
    <mergeCell ref="B57:Q57"/>
    <mergeCell ref="B48:S48"/>
    <mergeCell ref="B49:S49"/>
    <mergeCell ref="B50:S50"/>
    <mergeCell ref="B52:S52"/>
  </mergeCells>
  <printOptions horizontalCentered="1"/>
  <pageMargins left="0.5" right="0.5" top="0.75" bottom="0.75" header="0.33" footer="0.33"/>
  <pageSetup scale="70" orientation="portrait" blackAndWhite="1" horizontalDpi="1200" verticalDpi="1200" r:id="rId1"/>
  <headerFooter scaleWithDoc="0">
    <oddHeader>&amp;R&amp;"Arial,Regular"&amp;10Exhibit 5.2</oddHeader>
  </headerFooter>
  <ignoredErrors>
    <ignoredError sqref="C3:S3"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H77"/>
  <sheetViews>
    <sheetView zoomScaleNormal="100" zoomScaleSheetLayoutView="70" workbookViewId="0"/>
  </sheetViews>
  <sheetFormatPr defaultColWidth="9.140625" defaultRowHeight="12.75"/>
  <cols>
    <col min="1" max="1" width="9.42578125" style="174" customWidth="1"/>
    <col min="2" max="8" width="18.28515625" style="174" customWidth="1"/>
    <col min="9" max="16384" width="9.140625" style="108"/>
  </cols>
  <sheetData>
    <row r="1" spans="1:8" ht="15">
      <c r="A1" s="183" t="s">
        <v>423</v>
      </c>
      <c r="B1" s="184"/>
      <c r="C1" s="184"/>
      <c r="D1" s="184"/>
      <c r="E1" s="184"/>
      <c r="F1" s="184"/>
      <c r="G1" s="184"/>
      <c r="H1" s="184"/>
    </row>
    <row r="2" spans="1:8" ht="15">
      <c r="A2" s="183" t="s">
        <v>492</v>
      </c>
      <c r="B2" s="184"/>
      <c r="C2" s="184"/>
      <c r="D2" s="184"/>
      <c r="E2" s="184"/>
      <c r="F2" s="184"/>
      <c r="G2" s="184"/>
      <c r="H2" s="184"/>
    </row>
    <row r="3" spans="1:8" ht="15">
      <c r="A3" s="296"/>
      <c r="B3" s="184"/>
      <c r="C3" s="184"/>
      <c r="D3" s="184"/>
      <c r="E3" s="184"/>
      <c r="F3" s="184"/>
      <c r="G3" s="184"/>
      <c r="H3" s="184"/>
    </row>
    <row r="4" spans="1:8">
      <c r="A4" s="186"/>
      <c r="B4" s="185" t="s">
        <v>173</v>
      </c>
      <c r="C4" s="185" t="s">
        <v>174</v>
      </c>
      <c r="D4" s="185"/>
      <c r="E4" s="185"/>
      <c r="F4" s="185"/>
      <c r="G4" s="183"/>
      <c r="H4" s="185"/>
    </row>
    <row r="5" spans="1:8">
      <c r="A5" s="186"/>
      <c r="B5" s="185" t="s">
        <v>175</v>
      </c>
      <c r="C5" s="187" t="s">
        <v>176</v>
      </c>
      <c r="D5" s="187"/>
      <c r="E5" s="187"/>
      <c r="F5" s="188" t="s">
        <v>177</v>
      </c>
      <c r="G5" s="188"/>
      <c r="H5" s="188" t="s">
        <v>178</v>
      </c>
    </row>
    <row r="6" spans="1:8">
      <c r="A6" s="186"/>
      <c r="B6" s="185" t="s">
        <v>179</v>
      </c>
      <c r="C6" s="185" t="s">
        <v>493</v>
      </c>
      <c r="D6" s="185"/>
      <c r="E6" s="185"/>
      <c r="F6" s="189" t="s">
        <v>3</v>
      </c>
      <c r="G6" s="189" t="s">
        <v>21</v>
      </c>
      <c r="H6" s="189" t="s">
        <v>180</v>
      </c>
    </row>
    <row r="7" spans="1:8">
      <c r="A7" s="190" t="s">
        <v>181</v>
      </c>
      <c r="B7" s="191" t="s">
        <v>116</v>
      </c>
      <c r="C7" s="191" t="s">
        <v>116</v>
      </c>
      <c r="D7" s="191" t="s">
        <v>21</v>
      </c>
      <c r="E7" s="191" t="s">
        <v>182</v>
      </c>
      <c r="F7" s="190" t="s">
        <v>183</v>
      </c>
      <c r="G7" s="190" t="s">
        <v>184</v>
      </c>
      <c r="H7" s="192" t="s">
        <v>185</v>
      </c>
    </row>
    <row r="8" spans="1:8">
      <c r="A8" s="195">
        <v>1979</v>
      </c>
      <c r="B8" s="402">
        <v>4.9972454528703913E-3</v>
      </c>
      <c r="C8" s="403">
        <v>4.9848006643679237E-3</v>
      </c>
      <c r="D8" s="404">
        <v>-5.263948527521789E-2</v>
      </c>
      <c r="E8" s="404">
        <v>6.9886036168573199E-3</v>
      </c>
      <c r="F8" s="403">
        <v>0</v>
      </c>
      <c r="G8" s="403">
        <v>-5.96280888920733E-2</v>
      </c>
      <c r="H8" s="403">
        <v>0.129090443240161</v>
      </c>
    </row>
    <row r="9" spans="1:8">
      <c r="A9" s="189">
        <v>1980</v>
      </c>
      <c r="B9" s="405">
        <v>-6.537199001149907E-2</v>
      </c>
      <c r="C9" s="406">
        <v>-6.7606679136548206E-2</v>
      </c>
      <c r="D9" s="407">
        <v>-0.13190211875872715</v>
      </c>
      <c r="E9" s="407">
        <v>-6.5507403473431702E-2</v>
      </c>
      <c r="F9" s="406">
        <v>0</v>
      </c>
      <c r="G9" s="406">
        <v>-6.6394715285293504E-2</v>
      </c>
      <c r="H9" s="406">
        <v>-7.7987975677900903E-2</v>
      </c>
    </row>
    <row r="10" spans="1:8">
      <c r="A10" s="189">
        <v>1981</v>
      </c>
      <c r="B10" s="405">
        <v>-3.5389954731183226E-2</v>
      </c>
      <c r="C10" s="406">
        <v>-3.603135747984712E-2</v>
      </c>
      <c r="D10" s="407">
        <v>-2.78811546399363E-2</v>
      </c>
      <c r="E10" s="407">
        <v>-3.6289825171824344E-2</v>
      </c>
      <c r="F10" s="406">
        <v>3.3258233100083939E-2</v>
      </c>
      <c r="G10" s="406">
        <v>8.4086705318866493E-3</v>
      </c>
      <c r="H10" s="406">
        <v>-7.62652047420046E-2</v>
      </c>
    </row>
    <row r="11" spans="1:8">
      <c r="A11" s="189">
        <v>1982</v>
      </c>
      <c r="B11" s="405">
        <v>-1.5933882873320315E-2</v>
      </c>
      <c r="C11" s="406">
        <v>-1.6062191985268263E-2</v>
      </c>
      <c r="D11" s="407">
        <v>0.15335632934821475</v>
      </c>
      <c r="E11" s="407">
        <v>-2.1958817515098778E-2</v>
      </c>
      <c r="F11" s="406">
        <v>0</v>
      </c>
      <c r="G11" s="406">
        <v>0.17531514686331301</v>
      </c>
      <c r="H11" s="406">
        <v>-0.28525503834652599</v>
      </c>
    </row>
    <row r="12" spans="1:8">
      <c r="A12" s="189">
        <v>1983</v>
      </c>
      <c r="B12" s="405">
        <v>6.2017440264092505E-2</v>
      </c>
      <c r="C12" s="406">
        <v>6.017034477915504E-2</v>
      </c>
      <c r="D12" s="407">
        <v>0.21350945883588832</v>
      </c>
      <c r="E12" s="407">
        <v>5.3861621734033575E-2</v>
      </c>
      <c r="F12" s="406">
        <v>0.35238649210176365</v>
      </c>
      <c r="G12" s="406">
        <v>0.15964783710185501</v>
      </c>
      <c r="H12" s="406">
        <v>2.7990961238040402E-2</v>
      </c>
    </row>
    <row r="13" spans="1:8">
      <c r="A13" s="189">
        <v>1984</v>
      </c>
      <c r="B13" s="405">
        <v>9.5255937850112993E-2</v>
      </c>
      <c r="C13" s="406">
        <v>9.0988069153566428E-2</v>
      </c>
      <c r="D13" s="407">
        <v>0.23540351753864669</v>
      </c>
      <c r="E13" s="407">
        <v>8.4047620374758894E-2</v>
      </c>
      <c r="F13" s="406">
        <v>8.1444237360177044E-2</v>
      </c>
      <c r="G13" s="406">
        <v>0.151355897163892</v>
      </c>
      <c r="H13" s="406">
        <v>0.215303092530887</v>
      </c>
    </row>
    <row r="14" spans="1:8">
      <c r="A14" s="189">
        <v>1985</v>
      </c>
      <c r="B14" s="405">
        <v>2.0483696026821319E-2</v>
      </c>
      <c r="C14" s="406">
        <v>2.0276726684303418E-2</v>
      </c>
      <c r="D14" s="407">
        <v>0.13787698579757376</v>
      </c>
      <c r="E14" s="407">
        <v>1.3792378413909994E-2</v>
      </c>
      <c r="F14" s="406">
        <v>0</v>
      </c>
      <c r="G14" s="406">
        <v>0.124084607383663</v>
      </c>
      <c r="H14" s="406">
        <v>7.7656139260759496E-2</v>
      </c>
    </row>
    <row r="15" spans="1:8">
      <c r="A15" s="189">
        <v>1986</v>
      </c>
      <c r="B15" s="405">
        <v>-2.3849790208604005E-2</v>
      </c>
      <c r="C15" s="406">
        <v>-2.4138800936178369E-2</v>
      </c>
      <c r="D15" s="407">
        <v>3.8775184347005248E-2</v>
      </c>
      <c r="E15" s="407">
        <v>-2.7953512653839729E-2</v>
      </c>
      <c r="F15" s="406">
        <v>0</v>
      </c>
      <c r="G15" s="406">
        <v>6.6728697000844897E-2</v>
      </c>
      <c r="H15" s="406">
        <v>7.4769497558121803E-2</v>
      </c>
    </row>
    <row r="16" spans="1:8">
      <c r="A16" s="189">
        <v>1987</v>
      </c>
      <c r="B16" s="405">
        <v>1.5326176062744779E-2</v>
      </c>
      <c r="C16" s="406">
        <v>1.520991659690063E-2</v>
      </c>
      <c r="D16" s="407">
        <v>5.3487370100176339E-2</v>
      </c>
      <c r="E16" s="407">
        <v>1.276119428560963E-2</v>
      </c>
      <c r="F16" s="406">
        <v>0</v>
      </c>
      <c r="G16" s="406">
        <v>4.0726175814564898E-2</v>
      </c>
      <c r="H16" s="406">
        <v>0.144673674061124</v>
      </c>
    </row>
    <row r="17" spans="1:8">
      <c r="A17" s="189">
        <v>1988</v>
      </c>
      <c r="B17" s="405">
        <v>6.945690720463249E-3</v>
      </c>
      <c r="C17" s="406">
        <v>6.9216805248196334E-3</v>
      </c>
      <c r="D17" s="407">
        <v>0.10414137897275508</v>
      </c>
      <c r="E17" s="407">
        <v>2.3346132027741992E-4</v>
      </c>
      <c r="F17" s="406">
        <v>0</v>
      </c>
      <c r="G17" s="406">
        <v>0.10390791765247399</v>
      </c>
      <c r="H17" s="406">
        <v>8.4227441892207502E-2</v>
      </c>
    </row>
    <row r="18" spans="1:8">
      <c r="A18" s="189">
        <v>1989</v>
      </c>
      <c r="B18" s="405">
        <v>2.4721858910198957E-2</v>
      </c>
      <c r="C18" s="406">
        <v>2.4421218605573849E-2</v>
      </c>
      <c r="D18" s="407">
        <v>0.21197872250604985</v>
      </c>
      <c r="E18" s="407">
        <v>9.3651841900618624E-3</v>
      </c>
      <c r="F18" s="406">
        <v>0</v>
      </c>
      <c r="G18" s="406">
        <v>0.20261353831598999</v>
      </c>
      <c r="H18" s="406">
        <v>4.2510673719143001E-2</v>
      </c>
    </row>
    <row r="19" spans="1:8">
      <c r="A19" s="189">
        <v>1990</v>
      </c>
      <c r="B19" s="405">
        <v>9.0429349166884609E-2</v>
      </c>
      <c r="C19" s="406">
        <v>8.6571517001718404E-2</v>
      </c>
      <c r="D19" s="407">
        <v>0.33726499564273615</v>
      </c>
      <c r="E19" s="407">
        <v>6.0973634333681061E-2</v>
      </c>
      <c r="F19" s="406">
        <v>4.6028738573505555E-2</v>
      </c>
      <c r="G19" s="406">
        <v>0.27629136130905602</v>
      </c>
      <c r="H19" s="406">
        <v>-0.115557720848332</v>
      </c>
    </row>
    <row r="20" spans="1:8">
      <c r="A20" s="189">
        <v>1991</v>
      </c>
      <c r="B20" s="405">
        <v>2.8122338197025254E-3</v>
      </c>
      <c r="C20" s="406">
        <v>2.8082868882387171E-3</v>
      </c>
      <c r="D20" s="407">
        <v>0.16630851362821614</v>
      </c>
      <c r="E20" s="407">
        <v>-1.8180564323672689E-2</v>
      </c>
      <c r="F20" s="406">
        <v>7.0942886375604683E-2</v>
      </c>
      <c r="G20" s="406">
        <v>0.18448907795189001</v>
      </c>
      <c r="H20" s="406">
        <v>-0.28210093360001498</v>
      </c>
    </row>
    <row r="21" spans="1:8">
      <c r="A21" s="189">
        <v>1992</v>
      </c>
      <c r="B21" s="405">
        <v>-0.10274430254913414</v>
      </c>
      <c r="C21" s="406">
        <v>-0.10841439907113613</v>
      </c>
      <c r="D21" s="407">
        <v>-0.26267669229269547</v>
      </c>
      <c r="E21" s="407">
        <v>-8.851138344844045E-2</v>
      </c>
      <c r="F21" s="406">
        <v>2.340777541294272E-2</v>
      </c>
      <c r="G21" s="406">
        <v>-0.17416530884425599</v>
      </c>
      <c r="H21" s="406">
        <v>-0.18088452198492999</v>
      </c>
    </row>
    <row r="22" spans="1:8">
      <c r="A22" s="189">
        <v>1993</v>
      </c>
      <c r="B22" s="405">
        <v>-9.2100767072223033E-2</v>
      </c>
      <c r="C22" s="406">
        <v>-9.6621883491028779E-2</v>
      </c>
      <c r="D22" s="407">
        <v>-0.17548826762578179</v>
      </c>
      <c r="E22" s="407">
        <v>-8.7702050524256461E-2</v>
      </c>
      <c r="F22" s="406">
        <v>1.3154751304001039E-2</v>
      </c>
      <c r="G22" s="406">
        <v>-8.7786217101524705E-2</v>
      </c>
      <c r="H22" s="406">
        <v>-2.1295232626267899E-2</v>
      </c>
    </row>
    <row r="23" spans="1:8">
      <c r="A23" s="189">
        <v>1994</v>
      </c>
      <c r="B23" s="405">
        <v>-0.10524780770668374</v>
      </c>
      <c r="C23" s="406">
        <v>-0.11120847916485851</v>
      </c>
      <c r="D23" s="407">
        <v>-0.16679990525547181</v>
      </c>
      <c r="E23" s="407">
        <v>-0.10537381633166476</v>
      </c>
      <c r="F23" s="406">
        <v>-5.6706294133613756E-2</v>
      </c>
      <c r="G23" s="406">
        <v>-6.1426088923810102E-2</v>
      </c>
      <c r="H23" s="406">
        <v>0.103295824001937</v>
      </c>
    </row>
    <row r="24" spans="1:8">
      <c r="A24" s="189">
        <v>1995</v>
      </c>
      <c r="B24" s="405">
        <v>-2.8308620420250952E-3</v>
      </c>
      <c r="C24" s="406">
        <v>-2.8348765100356423E-3</v>
      </c>
      <c r="D24" s="407">
        <v>9.1735026190645254E-3</v>
      </c>
      <c r="E24" s="407">
        <v>-4.0650768208966518E-3</v>
      </c>
      <c r="F24" s="406">
        <v>6.1379405889037029E-2</v>
      </c>
      <c r="G24" s="406">
        <v>1.32385794399621E-2</v>
      </c>
      <c r="H24" s="406">
        <v>8.9253307746114494E-2</v>
      </c>
    </row>
    <row r="25" spans="1:8">
      <c r="A25" s="189">
        <v>1996</v>
      </c>
      <c r="B25" s="405">
        <v>-6.7844046457282814E-2</v>
      </c>
      <c r="C25" s="406">
        <v>-7.0255146167625765E-2</v>
      </c>
      <c r="D25" s="407">
        <v>-0.16496504996083688</v>
      </c>
      <c r="E25" s="407">
        <v>-6.0979598323964067E-2</v>
      </c>
      <c r="F25" s="406">
        <v>5.2576129225968458E-2</v>
      </c>
      <c r="G25" s="406">
        <v>-0.10398545163687301</v>
      </c>
      <c r="H25" s="406">
        <v>7.1967076178066594E-2</v>
      </c>
    </row>
    <row r="26" spans="1:8">
      <c r="A26" s="189">
        <v>1997</v>
      </c>
      <c r="B26" s="405">
        <v>-3.2852371736435959E-2</v>
      </c>
      <c r="C26" s="406">
        <v>-3.3404128931341016E-2</v>
      </c>
      <c r="D26" s="407">
        <v>-2.6277145767301228E-2</v>
      </c>
      <c r="E26" s="407">
        <v>-3.4069098724675527E-2</v>
      </c>
      <c r="F26" s="406">
        <v>9.5585116390051669E-2</v>
      </c>
      <c r="G26" s="406">
        <v>7.7919529573717804E-3</v>
      </c>
      <c r="H26" s="406">
        <v>0.132337316718627</v>
      </c>
    </row>
    <row r="27" spans="1:8">
      <c r="A27" s="189">
        <v>1998</v>
      </c>
      <c r="B27" s="405">
        <v>-3.7308566107210117E-2</v>
      </c>
      <c r="C27" s="406">
        <v>-3.8022340240514881E-2</v>
      </c>
      <c r="D27" s="407">
        <v>-2.044598234045621E-2</v>
      </c>
      <c r="E27" s="407">
        <v>-3.9684601622638434E-2</v>
      </c>
      <c r="F27" s="406">
        <v>6.5591055844175003E-2</v>
      </c>
      <c r="G27" s="406">
        <v>1.9238619282194901E-2</v>
      </c>
      <c r="H27" s="406">
        <v>7.5116722782624906E-2</v>
      </c>
    </row>
    <row r="28" spans="1:8">
      <c r="A28" s="189">
        <v>1999</v>
      </c>
      <c r="B28" s="405">
        <v>1.4836945639086885E-2</v>
      </c>
      <c r="C28" s="406">
        <v>1.4727954898455489E-2</v>
      </c>
      <c r="D28" s="407">
        <v>9.7159048777340704E-3</v>
      </c>
      <c r="E28" s="407">
        <v>1.5205227338389464E-2</v>
      </c>
      <c r="F28" s="406">
        <v>5.7708699010089543E-2</v>
      </c>
      <c r="G28" s="406">
        <v>-5.4893224606593601E-3</v>
      </c>
      <c r="H28" s="406">
        <v>0.121850466217024</v>
      </c>
    </row>
    <row r="29" spans="1:8">
      <c r="A29" s="189">
        <v>2000</v>
      </c>
      <c r="B29" s="405">
        <v>3.9606227719440001E-2</v>
      </c>
      <c r="C29" s="406">
        <v>3.8842014263061275E-2</v>
      </c>
      <c r="D29" s="407">
        <v>0.10058721181330427</v>
      </c>
      <c r="E29" s="407">
        <v>3.277527684326649E-2</v>
      </c>
      <c r="F29" s="406">
        <v>3.9845917280876893E-2</v>
      </c>
      <c r="G29" s="406">
        <v>6.7811934970033197E-2</v>
      </c>
      <c r="H29" s="406">
        <v>6.2794839306647907E-2</v>
      </c>
    </row>
    <row r="30" spans="1:8">
      <c r="A30" s="189">
        <v>2001</v>
      </c>
      <c r="B30" s="405">
        <v>-6.9072722370183581E-2</v>
      </c>
      <c r="C30" s="406">
        <v>-7.1574116861439718E-2</v>
      </c>
      <c r="D30" s="407">
        <v>0.10567351090763442</v>
      </c>
      <c r="E30" s="407">
        <v>-9.1479091514150401E-2</v>
      </c>
      <c r="F30" s="406">
        <v>-3.103180999786116E-3</v>
      </c>
      <c r="G30" s="406">
        <v>0.19715260242178601</v>
      </c>
      <c r="H30" s="406">
        <v>-9.5928749745209305E-2</v>
      </c>
    </row>
    <row r="31" spans="1:8">
      <c r="A31" s="189">
        <v>2002</v>
      </c>
      <c r="B31" s="405">
        <v>-2.310461969073907E-2</v>
      </c>
      <c r="C31" s="406">
        <v>-2.3375715263420558E-2</v>
      </c>
      <c r="D31" s="407">
        <v>0.2016431702328691</v>
      </c>
      <c r="E31" s="407">
        <v>-5.510794256456443E-2</v>
      </c>
      <c r="F31" s="406">
        <v>-7.349595133649695E-3</v>
      </c>
      <c r="G31" s="406">
        <v>0.25675111279744001</v>
      </c>
      <c r="H31" s="406">
        <v>-0.19393241601902</v>
      </c>
    </row>
    <row r="32" spans="1:8">
      <c r="A32" s="189">
        <v>2003</v>
      </c>
      <c r="B32" s="405">
        <v>-2.8519598500808874E-2</v>
      </c>
      <c r="C32" s="406">
        <v>-2.8934183812090716E-2</v>
      </c>
      <c r="D32" s="407">
        <v>2.8303636979699332E-2</v>
      </c>
      <c r="E32" s="407">
        <v>-3.8404467254942731E-2</v>
      </c>
      <c r="F32" s="406">
        <v>6.0028862535367128E-2</v>
      </c>
      <c r="G32" s="406">
        <v>6.670810423463E-2</v>
      </c>
      <c r="H32" s="406">
        <v>-2.22287078772214E-2</v>
      </c>
    </row>
    <row r="33" spans="1:8">
      <c r="A33" s="189">
        <v>2004</v>
      </c>
      <c r="B33" s="405">
        <v>-0.1666515834363681</v>
      </c>
      <c r="C33" s="406">
        <v>-0.18230345708139714</v>
      </c>
      <c r="D33" s="407">
        <v>-0.31848042187725667</v>
      </c>
      <c r="E33" s="407">
        <v>-0.16076125013559162</v>
      </c>
      <c r="F33" s="406">
        <v>-6.5341083840120134E-2</v>
      </c>
      <c r="G33" s="406">
        <v>-0.157719171741658</v>
      </c>
      <c r="H33" s="406">
        <v>8.9807023533728506E-2</v>
      </c>
    </row>
    <row r="34" spans="1:8">
      <c r="A34" s="189">
        <v>2005</v>
      </c>
      <c r="B34" s="405">
        <v>-0.13594681292865263</v>
      </c>
      <c r="C34" s="406">
        <v>-0.14612095296240996</v>
      </c>
      <c r="D34" s="407">
        <v>-0.34228357997054953</v>
      </c>
      <c r="E34" s="407">
        <v>-0.12043254315295902</v>
      </c>
      <c r="F34" s="406">
        <v>-0.39778538419240267</v>
      </c>
      <c r="G34" s="406">
        <v>-0.22185103681759399</v>
      </c>
      <c r="H34" s="406">
        <v>0.134674964525755</v>
      </c>
    </row>
    <row r="35" spans="1:8">
      <c r="A35" s="189">
        <v>2006</v>
      </c>
      <c r="B35" s="405">
        <v>-5.5982976222047287E-2</v>
      </c>
      <c r="C35" s="406">
        <v>-5.7611079336155412E-2</v>
      </c>
      <c r="D35" s="407">
        <v>-0.20440644084637088</v>
      </c>
      <c r="E35" s="407">
        <v>-4.1760613703672581E-2</v>
      </c>
      <c r="F35" s="406">
        <v>5.085640230810775E-2</v>
      </c>
      <c r="G35" s="406">
        <v>-0.16264582714270401</v>
      </c>
      <c r="H35" s="406">
        <v>9.0277058937445601E-2</v>
      </c>
    </row>
    <row r="36" spans="1:8">
      <c r="A36" s="189">
        <v>2007</v>
      </c>
      <c r="B36" s="405">
        <v>-1.7084024502246775E-2</v>
      </c>
      <c r="C36" s="406">
        <v>-1.7231640110208283E-2</v>
      </c>
      <c r="D36" s="407">
        <v>-4.2012906457132071E-2</v>
      </c>
      <c r="E36" s="407">
        <v>-1.480026689931971E-2</v>
      </c>
      <c r="F36" s="406">
        <v>1.6334087468424897E-2</v>
      </c>
      <c r="G36" s="406">
        <v>-2.7212639557802301E-2</v>
      </c>
      <c r="H36" s="406">
        <v>-8.0526996297000705E-2</v>
      </c>
    </row>
    <row r="37" spans="1:8">
      <c r="A37" s="189">
        <v>2008</v>
      </c>
      <c r="B37" s="405">
        <v>-2.7100926482112597E-2</v>
      </c>
      <c r="C37" s="406">
        <v>-2.7474929290357025E-2</v>
      </c>
      <c r="D37" s="407">
        <v>-1.235887590480095E-2</v>
      </c>
      <c r="E37" s="407">
        <v>-2.8950137211170929E-2</v>
      </c>
      <c r="F37" s="408">
        <v>4.8656431170160629E-2</v>
      </c>
      <c r="G37" s="406">
        <v>1.65912613063584E-2</v>
      </c>
      <c r="H37" s="406">
        <v>-0.29599602771997502</v>
      </c>
    </row>
    <row r="38" spans="1:8">
      <c r="A38" s="189">
        <v>2009</v>
      </c>
      <c r="B38" s="405">
        <v>-2.039964560482499E-3</v>
      </c>
      <c r="C38" s="406">
        <v>-2.0420481222635342E-3</v>
      </c>
      <c r="D38" s="407">
        <v>0.13393877818127128</v>
      </c>
      <c r="E38" s="407">
        <v>-1.6479308757545507E-2</v>
      </c>
      <c r="F38" s="408">
        <v>6.8547735255460998E-2</v>
      </c>
      <c r="G38" s="406">
        <v>0.150418086938825</v>
      </c>
      <c r="H38" s="406">
        <v>-0.41444936507860503</v>
      </c>
    </row>
    <row r="39" spans="1:8">
      <c r="A39" s="189">
        <v>2010</v>
      </c>
      <c r="B39" s="405">
        <v>8.8721189877368545E-2</v>
      </c>
      <c r="C39" s="406">
        <v>8.5003787183363211E-2</v>
      </c>
      <c r="D39" s="407">
        <v>0.11513684247372384</v>
      </c>
      <c r="E39" s="407">
        <v>8.1498666069309098E-2</v>
      </c>
      <c r="F39" s="408">
        <v>1.5623602633512968E-2</v>
      </c>
      <c r="G39" s="406">
        <v>3.3638176404422501E-2</v>
      </c>
      <c r="H39" s="406">
        <v>-8.9936761466078902E-2</v>
      </c>
    </row>
    <row r="40" spans="1:8">
      <c r="A40" s="189">
        <v>2011</v>
      </c>
      <c r="B40" s="405">
        <v>1.2192788682411582E-2</v>
      </c>
      <c r="C40" s="406">
        <v>1.2119055372552385E-2</v>
      </c>
      <c r="D40" s="407">
        <v>2.7668095823299255E-2</v>
      </c>
      <c r="E40" s="407">
        <v>1.0263664911199196E-2</v>
      </c>
      <c r="F40" s="408">
        <v>0</v>
      </c>
      <c r="G40" s="406">
        <v>1.7404430912085499E-2</v>
      </c>
      <c r="H40" s="406">
        <v>4.7086511534607897E-2</v>
      </c>
    </row>
    <row r="41" spans="1:8">
      <c r="A41" s="189">
        <v>2012</v>
      </c>
      <c r="B41" s="405">
        <v>4.7077287267808465E-2</v>
      </c>
      <c r="C41" s="406">
        <v>4.6002746993805389E-2</v>
      </c>
      <c r="D41" s="407">
        <v>0.11466364597631072</v>
      </c>
      <c r="E41" s="407">
        <v>3.7411120966294995E-2</v>
      </c>
      <c r="F41" s="408">
        <v>2.8654470047896979E-3</v>
      </c>
      <c r="G41" s="406">
        <v>7.7252525010028897E-2</v>
      </c>
      <c r="H41" s="406">
        <v>0.12558515449421101</v>
      </c>
    </row>
    <row r="42" spans="1:8">
      <c r="A42" s="189">
        <v>2013</v>
      </c>
      <c r="B42" s="405">
        <v>3.5801383988163238E-3</v>
      </c>
      <c r="C42" s="406">
        <v>3.5737449583960663E-3</v>
      </c>
      <c r="D42" s="407">
        <v>0.13051567022170096</v>
      </c>
      <c r="E42" s="407">
        <v>-1.4183230026897069E-2</v>
      </c>
      <c r="F42" s="408">
        <v>1.8824162156153193E-2</v>
      </c>
      <c r="G42" s="406">
        <v>0.144698900248591</v>
      </c>
      <c r="H42" s="406">
        <v>0.15359313979664499</v>
      </c>
    </row>
    <row r="43" spans="1:8">
      <c r="A43" s="189">
        <v>2014</v>
      </c>
      <c r="B43" s="405">
        <v>1.6398298772359876E-3</v>
      </c>
      <c r="C43" s="406">
        <v>1.6384868242746331E-3</v>
      </c>
      <c r="D43" s="407">
        <v>4.5650797558029699E-2</v>
      </c>
      <c r="E43" s="407">
        <v>-5.1463258525066436E-3</v>
      </c>
      <c r="F43" s="408">
        <v>6.9892696764317266E-2</v>
      </c>
      <c r="G43" s="406">
        <v>5.0797123410537597E-2</v>
      </c>
      <c r="H43" s="406">
        <v>0.17937494198302101</v>
      </c>
    </row>
    <row r="44" spans="1:8">
      <c r="A44" s="189">
        <v>2015</v>
      </c>
      <c r="B44" s="409">
        <v>-1.4469128973382595E-2</v>
      </c>
      <c r="C44" s="408">
        <v>-1.4574827637351703E-2</v>
      </c>
      <c r="D44" s="410">
        <v>7.7848128775100476E-3</v>
      </c>
      <c r="E44" s="410">
        <v>-1.8156341273576706E-2</v>
      </c>
      <c r="F44" s="408">
        <v>0</v>
      </c>
      <c r="G44" s="406">
        <v>2.5941154151088799E-2</v>
      </c>
      <c r="H44" s="406">
        <v>0.19452691654614199</v>
      </c>
    </row>
    <row r="45" spans="1:8">
      <c r="A45" s="189">
        <v>2016</v>
      </c>
      <c r="B45" s="409">
        <v>-2.6588487377469772E-2</v>
      </c>
      <c r="C45" s="408">
        <v>-2.6948354425962117E-2</v>
      </c>
      <c r="D45" s="410">
        <v>2.9150950170167479E-2</v>
      </c>
      <c r="E45" s="410">
        <v>-3.6355620387754146E-2</v>
      </c>
      <c r="F45" s="408">
        <v>0</v>
      </c>
      <c r="G45" s="406">
        <v>6.5506570557914104E-2</v>
      </c>
      <c r="H45" s="406">
        <v>0.12755527974849301</v>
      </c>
    </row>
    <row r="46" spans="1:8">
      <c r="A46" s="189">
        <v>2017</v>
      </c>
      <c r="B46" s="409">
        <v>-1.8294201379249864E-2</v>
      </c>
      <c r="C46" s="408">
        <v>-1.846360958749672E-2</v>
      </c>
      <c r="D46" s="410">
        <v>-8.281387550054857E-2</v>
      </c>
      <c r="E46" s="410">
        <v>-7.7238940989579861E-3</v>
      </c>
      <c r="F46" s="408">
        <v>0</v>
      </c>
      <c r="G46" s="406">
        <v>-7.5089981401579506E-2</v>
      </c>
      <c r="H46" s="406">
        <v>0.133360536370246</v>
      </c>
    </row>
    <row r="47" spans="1:8">
      <c r="A47" s="189">
        <v>2018</v>
      </c>
      <c r="B47" s="409">
        <v>-4.6420742554960093E-3</v>
      </c>
      <c r="C47" s="408">
        <v>-4.6528821425063606E-3</v>
      </c>
      <c r="D47" s="410">
        <v>-5.4759733027940842E-2</v>
      </c>
      <c r="E47" s="410">
        <v>3.1710653077499915E-3</v>
      </c>
      <c r="F47" s="408">
        <v>0</v>
      </c>
      <c r="G47" s="406">
        <v>-5.7930798335693999E-2</v>
      </c>
      <c r="H47" s="406">
        <v>0.121877541804951</v>
      </c>
    </row>
    <row r="48" spans="1:8">
      <c r="A48" s="189">
        <v>2019</v>
      </c>
      <c r="B48" s="409">
        <v>-6.6936260172053563E-3</v>
      </c>
      <c r="C48" s="408">
        <v>-6.7161288048780332E-3</v>
      </c>
      <c r="D48" s="410">
        <v>3.6623822157847395E-2</v>
      </c>
      <c r="E48" s="410">
        <v>-1.3456773329524566E-2</v>
      </c>
      <c r="F48" s="408">
        <v>0</v>
      </c>
      <c r="G48" s="406">
        <v>5.0080595487375798E-2</v>
      </c>
      <c r="H48" s="406">
        <v>3.7016705879208502E-2</v>
      </c>
    </row>
    <row r="49" spans="1:8">
      <c r="A49" s="196" t="s">
        <v>494</v>
      </c>
      <c r="B49" s="411">
        <v>-9.3187862754862572E-2</v>
      </c>
      <c r="C49" s="412">
        <v>-9.7819975739244516E-2</v>
      </c>
      <c r="D49" s="413">
        <v>0.12471495704031491</v>
      </c>
      <c r="E49" s="413">
        <v>-0.14399815797823862</v>
      </c>
      <c r="F49" s="412">
        <v>0</v>
      </c>
      <c r="G49" s="413">
        <v>0.26871311501856099</v>
      </c>
      <c r="H49" s="412">
        <v>-0.90452869441061101</v>
      </c>
    </row>
    <row r="50" spans="1:8">
      <c r="A50" s="197">
        <v>2021</v>
      </c>
      <c r="B50" s="414">
        <v>8.6478541212067217E-3</v>
      </c>
      <c r="C50" s="415">
        <v>8.6106756198347702E-3</v>
      </c>
      <c r="D50" s="416">
        <v>8.6106756198407134E-3</v>
      </c>
      <c r="E50" s="416">
        <v>8.6106756198334744E-3</v>
      </c>
      <c r="F50" s="415">
        <v>0</v>
      </c>
      <c r="G50" s="416">
        <v>0</v>
      </c>
      <c r="H50" s="417">
        <v>0.27769930651081398</v>
      </c>
    </row>
    <row r="51" spans="1:8">
      <c r="A51" s="193">
        <v>2022</v>
      </c>
      <c r="B51" s="418">
        <v>1.4650322314951003E-2</v>
      </c>
      <c r="C51" s="419">
        <v>1.4544043102004515E-2</v>
      </c>
      <c r="D51" s="420">
        <v>1.4544043102004515E-2</v>
      </c>
      <c r="E51" s="420">
        <v>1.4544043102004429E-2</v>
      </c>
      <c r="F51" s="419">
        <v>0</v>
      </c>
      <c r="G51" s="420">
        <v>0</v>
      </c>
      <c r="H51" s="421">
        <v>0.335289419270349</v>
      </c>
    </row>
    <row r="52" spans="1:8">
      <c r="A52" s="193">
        <v>2023</v>
      </c>
      <c r="B52" s="418">
        <v>1.4957938937134596E-3</v>
      </c>
      <c r="C52" s="419">
        <v>1.494676308340004E-3</v>
      </c>
      <c r="D52" s="420">
        <v>1.494676308340004E-3</v>
      </c>
      <c r="E52" s="420">
        <v>1.4946763083399164E-3</v>
      </c>
      <c r="F52" s="419">
        <v>0</v>
      </c>
      <c r="G52" s="420">
        <v>0</v>
      </c>
      <c r="H52" s="421">
        <v>0.20863040019797899</v>
      </c>
    </row>
    <row r="53" spans="1:8">
      <c r="A53" s="193">
        <v>2024</v>
      </c>
      <c r="B53" s="418">
        <v>-1.4263632747320787E-2</v>
      </c>
      <c r="C53" s="419">
        <v>-1.4366336142321764E-2</v>
      </c>
      <c r="D53" s="420">
        <v>-1.4366336142321877E-2</v>
      </c>
      <c r="E53" s="420">
        <v>-1.4366336142321792E-2</v>
      </c>
      <c r="F53" s="419">
        <v>0</v>
      </c>
      <c r="G53" s="420">
        <v>0</v>
      </c>
      <c r="H53" s="421">
        <v>5.4681146547541103E-2</v>
      </c>
    </row>
    <row r="54" spans="1:8">
      <c r="A54" s="186"/>
      <c r="B54" s="186"/>
      <c r="C54" s="186"/>
      <c r="D54" s="186"/>
      <c r="E54" s="186"/>
      <c r="F54" s="198"/>
      <c r="G54" s="186"/>
      <c r="H54" s="186"/>
    </row>
    <row r="55" spans="1:8">
      <c r="A55" s="186"/>
      <c r="B55" s="186"/>
      <c r="C55" s="199" t="s">
        <v>186</v>
      </c>
      <c r="D55" s="186"/>
      <c r="E55" s="186"/>
      <c r="F55" s="186"/>
      <c r="G55" s="186"/>
      <c r="H55" s="186"/>
    </row>
    <row r="56" spans="1:8">
      <c r="A56" s="189"/>
      <c r="B56" s="35"/>
      <c r="C56" s="186" t="s">
        <v>187</v>
      </c>
      <c r="D56" s="186"/>
      <c r="E56" s="194">
        <v>-0.02</v>
      </c>
      <c r="F56" s="200"/>
      <c r="G56" s="200"/>
      <c r="H56" s="186"/>
    </row>
    <row r="57" spans="1:8">
      <c r="A57" s="189"/>
      <c r="B57" s="35"/>
      <c r="C57" s="186" t="s">
        <v>188</v>
      </c>
      <c r="D57" s="186"/>
      <c r="E57" s="194">
        <v>3.9824229152316967E-2</v>
      </c>
      <c r="F57" s="186"/>
      <c r="G57" s="186"/>
      <c r="H57" s="189"/>
    </row>
    <row r="58" spans="1:8">
      <c r="A58" s="189"/>
      <c r="B58" s="201"/>
      <c r="C58" s="186" t="s">
        <v>189</v>
      </c>
      <c r="D58" s="186"/>
      <c r="E58" s="194">
        <v>0.44383741988170161</v>
      </c>
      <c r="F58" s="186"/>
      <c r="G58" s="186"/>
      <c r="H58" s="189"/>
    </row>
    <row r="59" spans="1:8">
      <c r="A59" s="189"/>
      <c r="B59" s="201"/>
      <c r="C59" s="186" t="s">
        <v>190</v>
      </c>
      <c r="D59" s="186"/>
      <c r="E59" s="202">
        <v>41</v>
      </c>
      <c r="F59" s="186"/>
      <c r="G59" s="186"/>
      <c r="H59" s="189"/>
    </row>
    <row r="60" spans="1:8">
      <c r="A60" s="189"/>
      <c r="B60" s="201"/>
      <c r="C60" s="186" t="s">
        <v>191</v>
      </c>
      <c r="D60" s="186"/>
      <c r="E60" s="202">
        <v>37</v>
      </c>
      <c r="F60" s="186"/>
      <c r="G60" s="186"/>
      <c r="H60" s="186"/>
    </row>
    <row r="61" spans="1:8">
      <c r="A61" s="186"/>
      <c r="B61" s="186"/>
      <c r="C61" s="186"/>
      <c r="D61" s="186"/>
      <c r="E61" s="186"/>
      <c r="F61" s="186"/>
      <c r="G61" s="186"/>
      <c r="H61" s="186"/>
    </row>
    <row r="62" spans="1:8">
      <c r="A62" s="186"/>
      <c r="B62" s="186"/>
      <c r="C62" s="186" t="s">
        <v>192</v>
      </c>
      <c r="D62" s="186"/>
      <c r="E62" s="186"/>
      <c r="F62" s="194">
        <v>0.18667830321460802</v>
      </c>
      <c r="G62" s="194">
        <v>0.20919732711977521</v>
      </c>
      <c r="H62" s="194">
        <v>0.10302753715634265</v>
      </c>
    </row>
    <row r="63" spans="1:8">
      <c r="A63" s="186"/>
      <c r="B63" s="186"/>
      <c r="C63" s="186" t="s">
        <v>193</v>
      </c>
      <c r="D63" s="186"/>
      <c r="E63" s="186"/>
      <c r="F63" s="194">
        <v>7.5303541409960442E-2</v>
      </c>
      <c r="G63" s="194">
        <v>6.0763103658846483E-2</v>
      </c>
      <c r="H63" s="194">
        <v>4.4164192080142384E-2</v>
      </c>
    </row>
    <row r="64" spans="1:8">
      <c r="A64" s="186"/>
      <c r="B64" s="186"/>
      <c r="C64" s="186"/>
      <c r="D64" s="186"/>
      <c r="E64" s="186"/>
      <c r="F64" s="186"/>
      <c r="G64" s="186"/>
      <c r="H64" s="186"/>
    </row>
    <row r="65" spans="1:8">
      <c r="A65" s="186" t="s">
        <v>194</v>
      </c>
      <c r="B65" s="186"/>
      <c r="C65" s="186"/>
      <c r="D65" s="186"/>
      <c r="E65" s="186"/>
      <c r="F65" s="186"/>
      <c r="G65" s="186"/>
      <c r="H65" s="186"/>
    </row>
    <row r="66" spans="1:8">
      <c r="A66" s="186" t="s">
        <v>495</v>
      </c>
      <c r="B66" s="186"/>
      <c r="C66" s="186"/>
      <c r="D66" s="186"/>
      <c r="E66" s="186"/>
      <c r="F66" s="186"/>
      <c r="G66" s="186"/>
      <c r="H66" s="186"/>
    </row>
    <row r="67" spans="1:8">
      <c r="A67" s="186" t="s">
        <v>496</v>
      </c>
      <c r="B67" s="186"/>
      <c r="C67" s="186"/>
      <c r="D67" s="186"/>
      <c r="E67" s="186"/>
      <c r="F67" s="186"/>
      <c r="G67" s="186"/>
      <c r="H67" s="186"/>
    </row>
    <row r="68" spans="1:8">
      <c r="A68" s="186" t="s">
        <v>240</v>
      </c>
      <c r="B68" s="186"/>
      <c r="C68" s="186"/>
      <c r="D68" s="186"/>
      <c r="E68" s="186"/>
      <c r="F68" s="186"/>
      <c r="G68" s="186"/>
      <c r="H68" s="186"/>
    </row>
    <row r="69" spans="1:8">
      <c r="A69" s="186" t="s">
        <v>497</v>
      </c>
      <c r="B69" s="186"/>
      <c r="C69" s="186"/>
      <c r="D69" s="186"/>
      <c r="E69" s="186"/>
      <c r="F69" s="186"/>
      <c r="G69" s="186"/>
      <c r="H69" s="186"/>
    </row>
    <row r="70" spans="1:8">
      <c r="A70" s="186" t="s">
        <v>498</v>
      </c>
      <c r="B70" s="186"/>
      <c r="C70" s="186"/>
      <c r="D70" s="186"/>
      <c r="E70" s="186"/>
      <c r="F70" s="186"/>
      <c r="G70" s="186"/>
      <c r="H70" s="186"/>
    </row>
    <row r="71" spans="1:8">
      <c r="A71" s="186" t="s">
        <v>499</v>
      </c>
      <c r="B71" s="186"/>
      <c r="C71" s="186"/>
      <c r="D71" s="186"/>
      <c r="E71" s="186"/>
      <c r="F71" s="186"/>
      <c r="G71" s="186"/>
      <c r="H71" s="186"/>
    </row>
    <row r="72" spans="1:8">
      <c r="A72" s="186" t="s">
        <v>500</v>
      </c>
      <c r="B72" s="186"/>
      <c r="C72" s="186"/>
      <c r="D72" s="186"/>
      <c r="E72" s="186"/>
      <c r="F72" s="186"/>
      <c r="G72" s="186"/>
      <c r="H72" s="186"/>
    </row>
    <row r="73" spans="1:8">
      <c r="A73" s="186" t="s">
        <v>501</v>
      </c>
      <c r="B73" s="186"/>
      <c r="C73" s="186"/>
      <c r="D73" s="186"/>
      <c r="E73" s="186"/>
      <c r="F73" s="186"/>
      <c r="G73" s="186"/>
      <c r="H73" s="186"/>
    </row>
    <row r="74" spans="1:8">
      <c r="A74" s="186" t="s">
        <v>502</v>
      </c>
      <c r="B74" s="186"/>
      <c r="C74" s="186"/>
      <c r="D74" s="186"/>
      <c r="E74" s="186"/>
      <c r="F74" s="186"/>
      <c r="G74" s="186"/>
      <c r="H74" s="186"/>
    </row>
    <row r="75" spans="1:8">
      <c r="A75" s="186" t="s">
        <v>503</v>
      </c>
      <c r="B75" s="186"/>
      <c r="C75" s="186"/>
      <c r="D75" s="186"/>
      <c r="E75" s="186"/>
      <c r="F75" s="186"/>
      <c r="G75" s="186"/>
      <c r="H75" s="186"/>
    </row>
    <row r="76" spans="1:8">
      <c r="A76" s="186" t="s">
        <v>504</v>
      </c>
      <c r="B76" s="186"/>
      <c r="C76" s="186"/>
      <c r="D76" s="186"/>
      <c r="E76" s="186"/>
      <c r="F76" s="186"/>
      <c r="G76" s="186"/>
      <c r="H76" s="186"/>
    </row>
    <row r="77" spans="1:8">
      <c r="A77" s="174" t="s">
        <v>505</v>
      </c>
    </row>
  </sheetData>
  <printOptions horizontalCentered="1"/>
  <pageMargins left="0.5" right="0.5" top="0.75" bottom="0.75" header="0.33" footer="0.33"/>
  <pageSetup scale="70" orientation="portrait" blackAndWhite="1" horizontalDpi="1200" verticalDpi="1200" r:id="rId1"/>
  <headerFooter scaleWithDoc="0">
    <oddHeader>&amp;R&amp;"Arial,Regular"&amp;10Exhibit 6.1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M53"/>
  <sheetViews>
    <sheetView workbookViewId="0"/>
  </sheetViews>
  <sheetFormatPr defaultColWidth="9.140625" defaultRowHeight="12.75"/>
  <cols>
    <col min="1" max="1" width="4" style="108" customWidth="1"/>
    <col min="2" max="2" width="9.140625" style="108"/>
    <col min="3" max="3" width="5" style="108" customWidth="1"/>
    <col min="4" max="4" width="9.140625" style="108"/>
    <col min="5" max="5" width="5.7109375" style="108" customWidth="1"/>
    <col min="6" max="6" width="9.140625" style="108"/>
    <col min="7" max="7" width="5" style="108" customWidth="1"/>
    <col min="8" max="8" width="9.140625" style="108"/>
    <col min="9" max="9" width="6.7109375" style="108" customWidth="1"/>
    <col min="10" max="10" width="9.140625" style="108"/>
    <col min="11" max="11" width="5" style="108" customWidth="1"/>
    <col min="12" max="12" width="9.140625" style="108"/>
    <col min="13" max="13" width="4" style="108" customWidth="1"/>
    <col min="14" max="16384" width="9.140625" style="108"/>
  </cols>
  <sheetData>
    <row r="1" spans="1:13">
      <c r="A1" s="245" t="s">
        <v>195</v>
      </c>
      <c r="B1" s="245"/>
      <c r="C1" s="245"/>
      <c r="D1" s="245"/>
      <c r="E1" s="245"/>
      <c r="F1" s="245"/>
      <c r="G1" s="245"/>
      <c r="H1" s="245"/>
      <c r="I1" s="245"/>
      <c r="J1" s="245"/>
      <c r="K1" s="245"/>
      <c r="L1" s="245"/>
      <c r="M1" s="245"/>
    </row>
    <row r="2" spans="1:13">
      <c r="A2" s="245" t="str">
        <f>'Exhibit 3.1'!$A$3</f>
        <v>Based on Experience as of December 31, 2021</v>
      </c>
      <c r="B2" s="245"/>
      <c r="C2" s="245"/>
      <c r="D2" s="245"/>
      <c r="E2" s="245"/>
      <c r="F2" s="245"/>
      <c r="G2" s="245"/>
      <c r="H2" s="245"/>
      <c r="I2" s="245"/>
      <c r="J2" s="245"/>
      <c r="K2" s="245"/>
      <c r="L2" s="245"/>
      <c r="M2" s="245"/>
    </row>
    <row r="3" spans="1:13">
      <c r="A3" s="10"/>
      <c r="B3" s="10"/>
      <c r="C3" s="10"/>
      <c r="D3" s="10"/>
      <c r="E3" s="10"/>
      <c r="F3" s="10"/>
      <c r="G3" s="10"/>
      <c r="H3" s="10"/>
      <c r="I3" s="10"/>
      <c r="J3" s="10"/>
      <c r="K3" s="10"/>
      <c r="L3" s="10"/>
      <c r="M3" s="10"/>
    </row>
    <row r="4" spans="1:13">
      <c r="A4" s="10"/>
      <c r="B4" s="10"/>
      <c r="C4" s="10"/>
      <c r="D4" s="27" t="s">
        <v>45</v>
      </c>
      <c r="E4" s="27"/>
      <c r="F4" s="27" t="s">
        <v>46</v>
      </c>
      <c r="G4" s="27"/>
      <c r="H4" s="27" t="s">
        <v>47</v>
      </c>
      <c r="I4" s="27"/>
      <c r="J4" s="27" t="s">
        <v>48</v>
      </c>
      <c r="K4" s="27"/>
      <c r="L4" s="27" t="s">
        <v>50</v>
      </c>
      <c r="M4" s="27"/>
    </row>
    <row r="5" spans="1:13">
      <c r="A5" s="10"/>
      <c r="B5" s="10"/>
      <c r="C5" s="10"/>
      <c r="D5" s="122" t="s">
        <v>196</v>
      </c>
      <c r="E5" s="122"/>
      <c r="F5" s="122"/>
      <c r="G5" s="10"/>
      <c r="H5" s="122" t="s">
        <v>3</v>
      </c>
      <c r="I5" s="10"/>
      <c r="J5" s="122" t="s">
        <v>55</v>
      </c>
      <c r="K5" s="122"/>
      <c r="L5" s="122"/>
      <c r="M5" s="122"/>
    </row>
    <row r="6" spans="1:13">
      <c r="A6" s="10"/>
      <c r="B6" s="122" t="s">
        <v>197</v>
      </c>
      <c r="C6" s="10"/>
      <c r="D6" s="122" t="s">
        <v>55</v>
      </c>
      <c r="E6" s="122"/>
      <c r="F6" s="122" t="s">
        <v>63</v>
      </c>
      <c r="G6" s="10"/>
      <c r="H6" s="122" t="s">
        <v>142</v>
      </c>
      <c r="I6" s="10"/>
      <c r="J6" s="122" t="s">
        <v>119</v>
      </c>
      <c r="K6" s="122"/>
      <c r="L6" s="122" t="s">
        <v>63</v>
      </c>
      <c r="M6" s="122"/>
    </row>
    <row r="7" spans="1:13">
      <c r="A7" s="10"/>
      <c r="B7" s="26" t="s">
        <v>8</v>
      </c>
      <c r="C7" s="65"/>
      <c r="D7" s="26" t="s">
        <v>198</v>
      </c>
      <c r="E7" s="26"/>
      <c r="F7" s="26" t="s">
        <v>199</v>
      </c>
      <c r="G7" s="65"/>
      <c r="H7" s="26" t="s">
        <v>201</v>
      </c>
      <c r="I7" s="65"/>
      <c r="J7" s="26" t="s">
        <v>198</v>
      </c>
      <c r="K7" s="26"/>
      <c r="L7" s="26" t="s">
        <v>199</v>
      </c>
      <c r="M7" s="26"/>
    </row>
    <row r="8" spans="1:13">
      <c r="A8" s="10"/>
      <c r="B8" s="10"/>
      <c r="C8" s="10"/>
      <c r="D8" s="73"/>
      <c r="E8" s="73"/>
      <c r="F8" s="73"/>
      <c r="G8" s="10"/>
      <c r="H8" s="57"/>
      <c r="I8" s="10"/>
      <c r="J8" s="74" t="s">
        <v>200</v>
      </c>
      <c r="K8" s="74"/>
      <c r="L8" s="122"/>
      <c r="M8" s="122"/>
    </row>
    <row r="9" spans="1:13">
      <c r="A9" s="10"/>
      <c r="B9" s="10"/>
      <c r="C9" s="10"/>
      <c r="D9" s="73"/>
      <c r="E9" s="73"/>
      <c r="F9" s="73"/>
      <c r="G9" s="10"/>
      <c r="H9" s="57"/>
      <c r="I9" s="10"/>
      <c r="J9" s="122"/>
      <c r="K9" s="122"/>
      <c r="L9" s="122"/>
      <c r="M9" s="122"/>
    </row>
    <row r="10" spans="1:13">
      <c r="A10" s="10"/>
      <c r="B10" s="154">
        <v>1990</v>
      </c>
      <c r="C10" s="10"/>
      <c r="D10" s="363">
        <v>9999.2335673238049</v>
      </c>
      <c r="E10" s="73"/>
      <c r="F10" s="75" t="s">
        <v>32</v>
      </c>
      <c r="G10" s="10"/>
      <c r="H10" s="424">
        <v>2.1186846278289728</v>
      </c>
      <c r="I10" s="10"/>
      <c r="J10" s="73">
        <f t="shared" ref="J10:J34" si="0">+D10*H10</f>
        <v>21185.222449160407</v>
      </c>
      <c r="K10" s="73"/>
      <c r="L10" s="75" t="s">
        <v>32</v>
      </c>
      <c r="M10" s="75"/>
    </row>
    <row r="11" spans="1:13">
      <c r="A11" s="10"/>
      <c r="B11" s="154">
        <f>B10+1</f>
        <v>1991</v>
      </c>
      <c r="C11" s="10"/>
      <c r="D11" s="363">
        <v>10949.944525666129</v>
      </c>
      <c r="E11" s="73"/>
      <c r="F11" s="50">
        <f t="shared" ref="F11:F34" si="1">+D11/D10-1</f>
        <v>9.5078382952181961E-2</v>
      </c>
      <c r="G11" s="10"/>
      <c r="H11" s="424">
        <v>2.0036889136942335</v>
      </c>
      <c r="I11" s="10"/>
      <c r="J11" s="73">
        <f t="shared" si="0"/>
        <v>21940.282451644085</v>
      </c>
      <c r="K11" s="73"/>
      <c r="L11" s="50">
        <f t="shared" ref="L11:L34" si="2">+J11/J10-1</f>
        <v>3.5640881482158049E-2</v>
      </c>
      <c r="M11" s="50"/>
    </row>
    <row r="12" spans="1:13">
      <c r="A12" s="10"/>
      <c r="B12" s="177">
        <f t="shared" ref="B12:B41" si="3">B11+1</f>
        <v>1992</v>
      </c>
      <c r="C12" s="10"/>
      <c r="D12" s="363">
        <v>11041.584544762636</v>
      </c>
      <c r="E12" s="73"/>
      <c r="F12" s="50">
        <f t="shared" si="1"/>
        <v>8.3689939142346237E-3</v>
      </c>
      <c r="G12" s="10"/>
      <c r="H12" s="424">
        <v>1.9372640054745227</v>
      </c>
      <c r="I12" s="10"/>
      <c r="J12" s="73">
        <f t="shared" si="0"/>
        <v>21390.46430197245</v>
      </c>
      <c r="K12" s="73"/>
      <c r="L12" s="50">
        <f t="shared" si="2"/>
        <v>-2.5059757133182869E-2</v>
      </c>
      <c r="M12" s="50"/>
    </row>
    <row r="13" spans="1:13">
      <c r="A13" s="10"/>
      <c r="B13" s="177">
        <f t="shared" si="3"/>
        <v>1993</v>
      </c>
      <c r="C13" s="10"/>
      <c r="D13" s="363">
        <v>11997.129272294687</v>
      </c>
      <c r="E13" s="73"/>
      <c r="F13" s="50">
        <f t="shared" si="1"/>
        <v>8.6540543493397015E-2</v>
      </c>
      <c r="G13" s="10"/>
      <c r="H13" s="424">
        <v>1.9256944333191413</v>
      </c>
      <c r="I13" s="10"/>
      <c r="J13" s="73">
        <f t="shared" si="0"/>
        <v>23102.805055467998</v>
      </c>
      <c r="K13" s="73"/>
      <c r="L13" s="50">
        <f t="shared" si="2"/>
        <v>8.0051593519531394E-2</v>
      </c>
      <c r="M13" s="50"/>
    </row>
    <row r="14" spans="1:13">
      <c r="A14" s="10"/>
      <c r="B14" s="177">
        <f t="shared" si="3"/>
        <v>1994</v>
      </c>
      <c r="C14" s="10"/>
      <c r="D14" s="363">
        <v>12960.860307856639</v>
      </c>
      <c r="E14" s="73"/>
      <c r="F14" s="50">
        <f t="shared" si="1"/>
        <v>8.0330136792601259E-2</v>
      </c>
      <c r="G14" s="10"/>
      <c r="H14" s="424">
        <v>2.0170802721281809</v>
      </c>
      <c r="I14" s="10"/>
      <c r="J14" s="73">
        <f t="shared" si="0"/>
        <v>26143.095636786809</v>
      </c>
      <c r="K14" s="73"/>
      <c r="L14" s="50">
        <f t="shared" si="2"/>
        <v>0.13159833076629934</v>
      </c>
      <c r="M14" s="50"/>
    </row>
    <row r="15" spans="1:13">
      <c r="A15" s="10"/>
      <c r="B15" s="177">
        <f t="shared" si="3"/>
        <v>1995</v>
      </c>
      <c r="C15" s="10"/>
      <c r="D15" s="363">
        <v>14549.472726172815</v>
      </c>
      <c r="E15" s="73"/>
      <c r="F15" s="50">
        <f t="shared" si="1"/>
        <v>0.12256998228375227</v>
      </c>
      <c r="G15" s="10"/>
      <c r="H15" s="424">
        <v>1.8787480529867657</v>
      </c>
      <c r="I15" s="10"/>
      <c r="J15" s="73">
        <f t="shared" si="0"/>
        <v>27334.793556281227</v>
      </c>
      <c r="K15" s="73"/>
      <c r="L15" s="50">
        <f t="shared" si="2"/>
        <v>4.5583657576401926E-2</v>
      </c>
      <c r="M15" s="50"/>
    </row>
    <row r="16" spans="1:13">
      <c r="A16" s="10"/>
      <c r="B16" s="177">
        <f t="shared" si="3"/>
        <v>1996</v>
      </c>
      <c r="C16" s="10"/>
      <c r="D16" s="363">
        <v>16437.599005144988</v>
      </c>
      <c r="E16" s="73"/>
      <c r="F16" s="50">
        <f t="shared" si="1"/>
        <v>0.12977283194432565</v>
      </c>
      <c r="G16" s="10"/>
      <c r="H16" s="424">
        <v>1.763029827245669</v>
      </c>
      <c r="I16" s="10"/>
      <c r="J16" s="73">
        <f t="shared" si="0"/>
        <v>28979.977334374351</v>
      </c>
      <c r="K16" s="73"/>
      <c r="L16" s="50">
        <f t="shared" si="2"/>
        <v>6.0186435090711754E-2</v>
      </c>
      <c r="M16" s="50"/>
    </row>
    <row r="17" spans="1:13">
      <c r="A17" s="10"/>
      <c r="B17" s="177">
        <f t="shared" si="3"/>
        <v>1997</v>
      </c>
      <c r="C17" s="10"/>
      <c r="D17" s="363">
        <v>19253.987109163591</v>
      </c>
      <c r="E17" s="73"/>
      <c r="F17" s="50">
        <f t="shared" si="1"/>
        <v>0.17133816825298331</v>
      </c>
      <c r="G17" s="10"/>
      <c r="H17" s="424">
        <v>1.58182823883109</v>
      </c>
      <c r="I17" s="10"/>
      <c r="J17" s="73">
        <f t="shared" si="0"/>
        <v>30456.500519364752</v>
      </c>
      <c r="K17" s="73"/>
      <c r="L17" s="50">
        <f t="shared" si="2"/>
        <v>5.0949770179393283E-2</v>
      </c>
      <c r="M17" s="50"/>
    </row>
    <row r="18" spans="1:13">
      <c r="A18" s="10"/>
      <c r="B18" s="177">
        <f t="shared" si="3"/>
        <v>1998</v>
      </c>
      <c r="C18" s="10"/>
      <c r="D18" s="363">
        <v>21125.647451686873</v>
      </c>
      <c r="E18" s="73"/>
      <c r="F18" s="50">
        <f t="shared" si="1"/>
        <v>9.7208974531436176E-2</v>
      </c>
      <c r="G18" s="10"/>
      <c r="H18" s="424">
        <v>1.4590223293681712</v>
      </c>
      <c r="I18" s="10"/>
      <c r="J18" s="73">
        <f t="shared" si="0"/>
        <v>30822.791354370951</v>
      </c>
      <c r="K18" s="73"/>
      <c r="L18" s="50">
        <f t="shared" si="2"/>
        <v>1.2026688186756784E-2</v>
      </c>
      <c r="M18" s="50"/>
    </row>
    <row r="19" spans="1:13">
      <c r="A19" s="10"/>
      <c r="B19" s="177">
        <f t="shared" si="3"/>
        <v>1999</v>
      </c>
      <c r="C19" s="10"/>
      <c r="D19" s="363">
        <v>23136.774325842176</v>
      </c>
      <c r="E19" s="73"/>
      <c r="F19" s="50">
        <f t="shared" si="1"/>
        <v>9.5198354453023715E-2</v>
      </c>
      <c r="G19" s="10"/>
      <c r="H19" s="424">
        <v>1.351951802468105</v>
      </c>
      <c r="I19" s="10"/>
      <c r="J19" s="73">
        <f t="shared" si="0"/>
        <v>31279.803753120104</v>
      </c>
      <c r="K19" s="73"/>
      <c r="L19" s="50">
        <f t="shared" si="2"/>
        <v>1.4827093156322579E-2</v>
      </c>
      <c r="M19" s="50"/>
    </row>
    <row r="20" spans="1:13">
      <c r="A20" s="10"/>
      <c r="B20" s="177">
        <f t="shared" si="3"/>
        <v>2000</v>
      </c>
      <c r="C20" s="10"/>
      <c r="D20" s="363">
        <v>24616.514522256257</v>
      </c>
      <c r="E20" s="73"/>
      <c r="F20" s="50">
        <f t="shared" si="1"/>
        <v>6.3956201308551286E-2</v>
      </c>
      <c r="G20" s="10"/>
      <c r="H20" s="424">
        <v>1.2620803246314261</v>
      </c>
      <c r="I20" s="10"/>
      <c r="J20" s="73">
        <f t="shared" si="0"/>
        <v>31068.018639543392</v>
      </c>
      <c r="K20" s="73"/>
      <c r="L20" s="50">
        <f t="shared" si="2"/>
        <v>-6.7706663139018852E-3</v>
      </c>
      <c r="M20" s="50"/>
    </row>
    <row r="21" spans="1:13">
      <c r="A21" s="10"/>
      <c r="B21" s="177">
        <f t="shared" si="3"/>
        <v>2001</v>
      </c>
      <c r="C21" s="10"/>
      <c r="D21" s="363">
        <v>27105.533937314329</v>
      </c>
      <c r="E21" s="73"/>
      <c r="F21" s="50">
        <f t="shared" si="1"/>
        <v>0.1011117724569699</v>
      </c>
      <c r="G21" s="10"/>
      <c r="H21" s="424">
        <v>1.2633512559949569</v>
      </c>
      <c r="I21" s="10"/>
      <c r="J21" s="73">
        <f t="shared" si="0"/>
        <v>34243.810344119986</v>
      </c>
      <c r="K21" s="73"/>
      <c r="L21" s="50">
        <f t="shared" si="2"/>
        <v>0.10222060638699504</v>
      </c>
      <c r="M21" s="50"/>
    </row>
    <row r="22" spans="1:13">
      <c r="A22" s="10"/>
      <c r="B22" s="177">
        <f t="shared" si="3"/>
        <v>2002</v>
      </c>
      <c r="C22" s="10"/>
      <c r="D22" s="363">
        <v>26138.853311396528</v>
      </c>
      <c r="E22" s="73"/>
      <c r="F22" s="50">
        <f t="shared" si="1"/>
        <v>-3.5663589145795704E-2</v>
      </c>
      <c r="G22" s="10"/>
      <c r="H22" s="424">
        <v>1.2940250705016634</v>
      </c>
      <c r="I22" s="10"/>
      <c r="J22" s="73">
        <f t="shared" si="0"/>
        <v>33824.33149911253</v>
      </c>
      <c r="K22" s="73"/>
      <c r="L22" s="50">
        <f t="shared" si="2"/>
        <v>-1.224977129566085E-2</v>
      </c>
      <c r="M22" s="50"/>
    </row>
    <row r="23" spans="1:13">
      <c r="A23" s="10"/>
      <c r="B23" s="177">
        <f t="shared" si="3"/>
        <v>2003</v>
      </c>
      <c r="C23" s="10"/>
      <c r="D23" s="363">
        <v>25903.474057049236</v>
      </c>
      <c r="E23" s="73"/>
      <c r="F23" s="50">
        <f t="shared" si="1"/>
        <v>-9.004957162549565E-3</v>
      </c>
      <c r="G23" s="10"/>
      <c r="H23" s="424">
        <v>1.2900210937761862</v>
      </c>
      <c r="I23" s="10"/>
      <c r="J23" s="73">
        <f t="shared" si="0"/>
        <v>33416.027935677717</v>
      </c>
      <c r="K23" s="73"/>
      <c r="L23" s="50">
        <f t="shared" si="2"/>
        <v>-1.2071297357215349E-2</v>
      </c>
      <c r="M23" s="50"/>
    </row>
    <row r="24" spans="1:13">
      <c r="A24" s="10"/>
      <c r="B24" s="177">
        <f t="shared" si="3"/>
        <v>2004</v>
      </c>
      <c r="C24" s="10"/>
      <c r="D24" s="363">
        <v>21109.874863361747</v>
      </c>
      <c r="E24" s="73"/>
      <c r="F24" s="50">
        <f t="shared" si="1"/>
        <v>-0.18505622771409624</v>
      </c>
      <c r="G24" s="10"/>
      <c r="H24" s="424">
        <v>1.5239679426684234</v>
      </c>
      <c r="I24" s="10"/>
      <c r="J24" s="73">
        <f t="shared" si="0"/>
        <v>32170.772565505267</v>
      </c>
      <c r="K24" s="73"/>
      <c r="L24" s="50">
        <f t="shared" si="2"/>
        <v>-3.7265212148177351E-2</v>
      </c>
      <c r="M24" s="50"/>
    </row>
    <row r="25" spans="1:13">
      <c r="A25" s="10"/>
      <c r="B25" s="177">
        <f t="shared" si="3"/>
        <v>2005</v>
      </c>
      <c r="C25" s="10"/>
      <c r="D25" s="363">
        <v>19133.730764677559</v>
      </c>
      <c r="E25" s="73"/>
      <c r="F25" s="50">
        <f t="shared" si="1"/>
        <v>-9.3612307579993281E-2</v>
      </c>
      <c r="G25" s="10"/>
      <c r="H25" s="424">
        <v>1.7494443138533238</v>
      </c>
      <c r="I25" s="10"/>
      <c r="J25" s="73">
        <f t="shared" si="0"/>
        <v>33473.396489065562</v>
      </c>
      <c r="K25" s="73"/>
      <c r="L25" s="50">
        <f t="shared" si="2"/>
        <v>4.0490912082012498E-2</v>
      </c>
      <c r="M25" s="50"/>
    </row>
    <row r="26" spans="1:13">
      <c r="A26" s="10"/>
      <c r="B26" s="177">
        <f t="shared" si="3"/>
        <v>2006</v>
      </c>
      <c r="C26" s="10"/>
      <c r="D26" s="363">
        <v>20822.368572303814</v>
      </c>
      <c r="E26" s="73"/>
      <c r="F26" s="50">
        <f t="shared" si="1"/>
        <v>8.8254498215456278E-2</v>
      </c>
      <c r="G26" s="10"/>
      <c r="H26" s="424">
        <v>1.6210085633610973</v>
      </c>
      <c r="I26" s="10"/>
      <c r="J26" s="73">
        <f t="shared" si="0"/>
        <v>33753.237765165468</v>
      </c>
      <c r="K26" s="73"/>
      <c r="L26" s="50">
        <f t="shared" si="2"/>
        <v>8.3601099814092361E-3</v>
      </c>
      <c r="M26" s="50"/>
    </row>
    <row r="27" spans="1:13">
      <c r="A27" s="10"/>
      <c r="B27" s="177">
        <f t="shared" si="3"/>
        <v>2007</v>
      </c>
      <c r="C27" s="10"/>
      <c r="D27" s="363">
        <v>22709.149987074201</v>
      </c>
      <c r="E27" s="73"/>
      <c r="F27" s="50">
        <f t="shared" si="1"/>
        <v>9.0613198408178608E-2</v>
      </c>
      <c r="G27" s="10"/>
      <c r="H27" s="424">
        <v>1.5626649064151805</v>
      </c>
      <c r="I27" s="10"/>
      <c r="J27" s="73">
        <f t="shared" si="0"/>
        <v>35486.791739319604</v>
      </c>
      <c r="K27" s="73"/>
      <c r="L27" s="50">
        <f t="shared" si="2"/>
        <v>5.1359635073089827E-2</v>
      </c>
      <c r="M27" s="50"/>
    </row>
    <row r="28" spans="1:13">
      <c r="A28" s="10"/>
      <c r="B28" s="177">
        <f t="shared" si="3"/>
        <v>2008</v>
      </c>
      <c r="C28" s="10"/>
      <c r="D28" s="363">
        <v>24699.464625437813</v>
      </c>
      <c r="E28" s="73"/>
      <c r="F28" s="50">
        <f t="shared" si="1"/>
        <v>8.7643731249143153E-2</v>
      </c>
      <c r="G28" s="10"/>
      <c r="H28" s="424">
        <v>1.4763291761915014</v>
      </c>
      <c r="I28" s="10"/>
      <c r="J28" s="73">
        <f t="shared" si="0"/>
        <v>36464.540262843737</v>
      </c>
      <c r="K28" s="73"/>
      <c r="L28" s="50">
        <f t="shared" si="2"/>
        <v>2.7552463201140354E-2</v>
      </c>
      <c r="M28" s="50"/>
    </row>
    <row r="29" spans="1:13">
      <c r="A29" s="10"/>
      <c r="B29" s="177">
        <f t="shared" si="3"/>
        <v>2009</v>
      </c>
      <c r="C29" s="10"/>
      <c r="D29" s="363">
        <v>25906.978159664934</v>
      </c>
      <c r="E29" s="73"/>
      <c r="F29" s="50">
        <f t="shared" si="1"/>
        <v>4.8888247277372621E-2</v>
      </c>
      <c r="G29" s="10"/>
      <c r="H29" s="424">
        <v>1.4675123619210793</v>
      </c>
      <c r="I29" s="10"/>
      <c r="J29" s="73">
        <f t="shared" si="0"/>
        <v>38018.810709327699</v>
      </c>
      <c r="K29" s="73"/>
      <c r="L29" s="50">
        <f t="shared" si="2"/>
        <v>4.2624161316184628E-2</v>
      </c>
      <c r="M29" s="50"/>
    </row>
    <row r="30" spans="1:13">
      <c r="A30" s="10"/>
      <c r="B30" s="177">
        <f t="shared" si="3"/>
        <v>2010</v>
      </c>
      <c r="C30" s="10"/>
      <c r="D30" s="363">
        <v>25287.39327292387</v>
      </c>
      <c r="E30" s="73"/>
      <c r="F30" s="50">
        <f t="shared" si="1"/>
        <v>-2.391575284938896E-2</v>
      </c>
      <c r="G30" s="10"/>
      <c r="H30" s="424">
        <v>1.4400647282015577</v>
      </c>
      <c r="I30" s="10"/>
      <c r="J30" s="73">
        <f t="shared" si="0"/>
        <v>36415.483120499011</v>
      </c>
      <c r="K30" s="73"/>
      <c r="L30" s="50">
        <f t="shared" si="2"/>
        <v>-4.2171955379848858E-2</v>
      </c>
      <c r="M30" s="50"/>
    </row>
    <row r="31" spans="1:13">
      <c r="A31" s="10"/>
      <c r="B31" s="177">
        <f t="shared" si="3"/>
        <v>2011</v>
      </c>
      <c r="C31" s="10"/>
      <c r="D31" s="363">
        <v>24906.57074470618</v>
      </c>
      <c r="E31" s="73"/>
      <c r="F31" s="50">
        <f t="shared" si="1"/>
        <v>-1.5059777973455701E-2</v>
      </c>
      <c r="G31" s="10"/>
      <c r="H31" s="424">
        <v>1.4201821777135677</v>
      </c>
      <c r="I31" s="10"/>
      <c r="J31" s="73">
        <f t="shared" si="0"/>
        <v>35371.867879593854</v>
      </c>
      <c r="K31" s="73"/>
      <c r="L31" s="50">
        <f t="shared" si="2"/>
        <v>-2.8658558159226688E-2</v>
      </c>
      <c r="M31" s="50"/>
    </row>
    <row r="32" spans="1:13">
      <c r="A32" s="10"/>
      <c r="B32" s="177">
        <f t="shared" si="3"/>
        <v>2012</v>
      </c>
      <c r="C32" s="10"/>
      <c r="D32" s="363">
        <v>24274.148037502233</v>
      </c>
      <c r="E32" s="73"/>
      <c r="F32" s="50">
        <f t="shared" si="1"/>
        <v>-2.5391801773368083E-2</v>
      </c>
      <c r="G32" s="10"/>
      <c r="H32" s="424">
        <v>1.402590479416252</v>
      </c>
      <c r="I32" s="10"/>
      <c r="J32" s="73">
        <f t="shared" si="0"/>
        <v>34046.688933341327</v>
      </c>
      <c r="K32" s="73"/>
      <c r="L32" s="50">
        <f t="shared" si="2"/>
        <v>-3.7464206039767189E-2</v>
      </c>
      <c r="M32" s="50"/>
    </row>
    <row r="33" spans="1:13">
      <c r="A33" s="10"/>
      <c r="B33" s="177">
        <f t="shared" si="3"/>
        <v>2013</v>
      </c>
      <c r="C33" s="10"/>
      <c r="D33" s="363">
        <v>23592.849842953423</v>
      </c>
      <c r="E33" s="73"/>
      <c r="F33" s="50">
        <f t="shared" si="1"/>
        <v>-2.8066822097988386E-2</v>
      </c>
      <c r="G33" s="10"/>
      <c r="H33" s="424">
        <v>1.3743553856562605</v>
      </c>
      <c r="I33" s="10"/>
      <c r="J33" s="73">
        <f t="shared" si="0"/>
        <v>32424.960244642494</v>
      </c>
      <c r="K33" s="73"/>
      <c r="L33" s="50">
        <f t="shared" si="2"/>
        <v>-4.7632493481934546E-2</v>
      </c>
      <c r="M33" s="50"/>
    </row>
    <row r="34" spans="1:13">
      <c r="A34" s="10"/>
      <c r="B34" s="177">
        <f t="shared" si="3"/>
        <v>2014</v>
      </c>
      <c r="C34" s="10"/>
      <c r="D34" s="363">
        <v>24398.218937686717</v>
      </c>
      <c r="E34" s="73"/>
      <c r="F34" s="50">
        <f t="shared" si="1"/>
        <v>3.4136151422751393E-2</v>
      </c>
      <c r="G34" s="10"/>
      <c r="H34" s="424">
        <v>1.2774632396187326</v>
      </c>
      <c r="I34" s="10"/>
      <c r="J34" s="73">
        <f t="shared" si="0"/>
        <v>31167.827805064389</v>
      </c>
      <c r="K34" s="73"/>
      <c r="L34" s="50">
        <f t="shared" si="2"/>
        <v>-3.8770515988090337E-2</v>
      </c>
      <c r="M34" s="50"/>
    </row>
    <row r="35" spans="1:13">
      <c r="A35" s="10"/>
      <c r="B35" s="177">
        <f t="shared" si="3"/>
        <v>2015</v>
      </c>
      <c r="C35" s="10"/>
      <c r="D35" s="363">
        <v>24678.781101399018</v>
      </c>
      <c r="E35" s="73"/>
      <c r="F35" s="50">
        <f>+D35/D34-1</f>
        <v>1.1499288715658196E-2</v>
      </c>
      <c r="G35" s="10"/>
      <c r="H35" s="424">
        <v>1.2592983959314765</v>
      </c>
      <c r="I35" s="10"/>
      <c r="J35" s="73">
        <f>+D35*H35</f>
        <v>31077.949454535821</v>
      </c>
      <c r="K35" s="50"/>
      <c r="L35" s="50">
        <f>+J35/J34-1</f>
        <v>-2.8836899090530776E-3</v>
      </c>
      <c r="M35" s="50"/>
    </row>
    <row r="36" spans="1:13">
      <c r="A36" s="158"/>
      <c r="B36" s="177">
        <f t="shared" si="3"/>
        <v>2016</v>
      </c>
      <c r="C36" s="158"/>
      <c r="D36" s="363">
        <v>24033.25467461484</v>
      </c>
      <c r="E36" s="73"/>
      <c r="F36" s="50">
        <f>+D36/D35-1</f>
        <v>-2.6157143828614116E-2</v>
      </c>
      <c r="G36" s="158"/>
      <c r="H36" s="424">
        <v>1.2434727186413284</v>
      </c>
      <c r="I36" s="158"/>
      <c r="J36" s="73">
        <f>+D36*H36</f>
        <v>29884.696528042728</v>
      </c>
      <c r="K36" s="50"/>
      <c r="L36" s="50">
        <f>+J36/J35-1</f>
        <v>-3.8395484497415477E-2</v>
      </c>
      <c r="M36" s="50"/>
    </row>
    <row r="37" spans="1:13">
      <c r="A37" s="204"/>
      <c r="B37" s="206">
        <f t="shared" si="3"/>
        <v>2017</v>
      </c>
      <c r="C37" s="204"/>
      <c r="D37" s="363">
        <v>24106.659972958296</v>
      </c>
      <c r="E37" s="73"/>
      <c r="F37" s="50">
        <f>+D37/D36-1</f>
        <v>3.0543219941405741E-3</v>
      </c>
      <c r="G37" s="204"/>
      <c r="H37" s="424">
        <v>1.2110134409774338</v>
      </c>
      <c r="I37" s="204"/>
      <c r="J37" s="73">
        <f t="shared" ref="J37:J39" si="4">+D37*H37</f>
        <v>29193.489244325196</v>
      </c>
      <c r="K37" s="50"/>
      <c r="L37" s="50">
        <f t="shared" ref="L37:L39" si="5">+J37/J36-1</f>
        <v>-2.31291384561636E-2</v>
      </c>
      <c r="M37" s="50"/>
    </row>
    <row r="38" spans="1:13">
      <c r="A38" s="284"/>
      <c r="B38" s="252">
        <f t="shared" si="3"/>
        <v>2018</v>
      </c>
      <c r="C38" s="284"/>
      <c r="D38" s="363">
        <v>24978.80423170191</v>
      </c>
      <c r="E38" s="73"/>
      <c r="F38" s="50">
        <f t="shared" ref="F38:F41" si="6">+D38/D37-1</f>
        <v>3.6178560602005527E-2</v>
      </c>
      <c r="G38" s="284"/>
      <c r="H38" s="424">
        <v>1.1797537420257267</v>
      </c>
      <c r="I38" s="284"/>
      <c r="J38" s="73">
        <f t="shared" si="4"/>
        <v>29468.837763678384</v>
      </c>
      <c r="K38" s="50"/>
      <c r="L38" s="50">
        <f t="shared" si="5"/>
        <v>9.4318468425871327E-3</v>
      </c>
      <c r="M38" s="50"/>
    </row>
    <row r="39" spans="1:13">
      <c r="A39" s="466"/>
      <c r="B39" s="252">
        <f t="shared" si="3"/>
        <v>2019</v>
      </c>
      <c r="C39" s="466"/>
      <c r="D39" s="363">
        <v>26643.0334606779</v>
      </c>
      <c r="E39" s="73"/>
      <c r="F39" s="50">
        <f t="shared" si="6"/>
        <v>6.6625656438102476E-2</v>
      </c>
      <c r="G39" s="466"/>
      <c r="H39" s="424">
        <v>1.1478561957726399</v>
      </c>
      <c r="I39" s="466"/>
      <c r="J39" s="73">
        <f t="shared" si="4"/>
        <v>30582.371032016887</v>
      </c>
      <c r="K39" s="50"/>
      <c r="L39" s="50">
        <f t="shared" si="5"/>
        <v>3.7786806431537645E-2</v>
      </c>
      <c r="M39" s="50"/>
    </row>
    <row r="40" spans="1:13">
      <c r="A40" s="502"/>
      <c r="B40" s="252">
        <f t="shared" si="3"/>
        <v>2020</v>
      </c>
      <c r="C40" s="502"/>
      <c r="D40" s="363">
        <v>28645.396603907659</v>
      </c>
      <c r="E40" s="73"/>
      <c r="F40" s="50">
        <f t="shared" si="6"/>
        <v>7.5155223829336926E-2</v>
      </c>
      <c r="G40" s="502"/>
      <c r="H40" s="424">
        <v>1.1097624885893227</v>
      </c>
      <c r="I40" s="502"/>
      <c r="J40" s="73">
        <f t="shared" ref="J40:J41" si="7">+D40*H40</f>
        <v>31789.586621780694</v>
      </c>
      <c r="K40" s="50"/>
      <c r="L40" s="50">
        <f t="shared" ref="L40:L41" si="8">+J40/J39-1</f>
        <v>3.9474231363551437E-2</v>
      </c>
      <c r="M40" s="50"/>
    </row>
    <row r="41" spans="1:13">
      <c r="A41" s="233"/>
      <c r="B41" s="252">
        <f t="shared" si="3"/>
        <v>2021</v>
      </c>
      <c r="C41" s="233"/>
      <c r="D41" s="363">
        <v>29444.940168135254</v>
      </c>
      <c r="E41" s="73"/>
      <c r="F41" s="50">
        <f t="shared" si="6"/>
        <v>2.7911764507338788E-2</v>
      </c>
      <c r="G41" s="233"/>
      <c r="H41" s="424">
        <v>1.0655843216400172</v>
      </c>
      <c r="I41" s="233"/>
      <c r="J41" s="73">
        <f t="shared" si="7"/>
        <v>31376.066594793298</v>
      </c>
      <c r="K41" s="50"/>
      <c r="L41" s="50">
        <f t="shared" si="8"/>
        <v>-1.3008034105862598E-2</v>
      </c>
      <c r="M41" s="50"/>
    </row>
    <row r="42" spans="1:13">
      <c r="A42" s="10"/>
      <c r="B42" s="10"/>
      <c r="C42" s="10"/>
      <c r="D42" s="10"/>
      <c r="E42" s="10"/>
      <c r="F42" s="10"/>
      <c r="G42" s="10"/>
      <c r="H42" s="10"/>
      <c r="I42" s="10"/>
      <c r="J42" s="10"/>
      <c r="K42" s="10"/>
      <c r="L42" s="10"/>
      <c r="M42" s="10"/>
    </row>
    <row r="43" spans="1:13">
      <c r="A43" s="10"/>
      <c r="B43" s="55" t="s">
        <v>51</v>
      </c>
      <c r="C43" s="44"/>
      <c r="D43" s="44"/>
      <c r="E43" s="44"/>
      <c r="F43" s="44"/>
      <c r="G43" s="44"/>
      <c r="H43" s="44"/>
      <c r="I43" s="335" t="str">
        <f>"Estimated Annual Exponential Trend Based on "&amp;$B$10&amp;" to "&amp;$B$41&amp;":"</f>
        <v>Estimated Annual Exponential Trend Based on 1990 to 2021:</v>
      </c>
      <c r="J43" s="44"/>
      <c r="K43" s="76"/>
      <c r="L43" s="422">
        <f>LOGEST($J$10:$J$41)-1</f>
        <v>9.2427140159050403E-3</v>
      </c>
      <c r="M43" s="50"/>
    </row>
    <row r="44" spans="1:13">
      <c r="A44" s="10"/>
      <c r="B44" s="55" t="s">
        <v>131</v>
      </c>
      <c r="C44" s="44"/>
      <c r="D44" s="44"/>
      <c r="E44" s="44"/>
      <c r="F44" s="44"/>
      <c r="G44" s="44"/>
      <c r="H44" s="44"/>
      <c r="I44" s="335" t="str">
        <f>"Estimated Annual Exponential Trend Based on "&amp;$B$25&amp;" to "&amp;$B$41&amp;":"</f>
        <v>Estimated Annual Exponential Trend Based on 2005 to 2021:</v>
      </c>
      <c r="J44" s="44"/>
      <c r="K44" s="76"/>
      <c r="L44" s="422">
        <f>LOGEST($J$25:$J$41)-1</f>
        <v>-1.1916978185222971E-2</v>
      </c>
      <c r="M44" s="50"/>
    </row>
    <row r="45" spans="1:13">
      <c r="A45" s="228"/>
      <c r="B45" s="55" t="s">
        <v>210</v>
      </c>
      <c r="C45" s="44"/>
      <c r="D45" s="44"/>
      <c r="E45" s="44"/>
      <c r="F45" s="44"/>
      <c r="G45" s="44"/>
      <c r="H45" s="44"/>
      <c r="I45" s="335" t="str">
        <f>"Estimated Annual Exponential Trend Based on "&amp;$B$37&amp;" to "&amp;$B$41&amp;":"</f>
        <v>Estimated Annual Exponential Trend Based on 2017 to 2021:</v>
      </c>
      <c r="J45" s="44"/>
      <c r="K45" s="76"/>
      <c r="L45" s="422">
        <f>LOGEST($J$37:$J$41)-1</f>
        <v>2.2244272143094435E-2</v>
      </c>
      <c r="M45" s="50"/>
    </row>
    <row r="46" spans="1:13">
      <c r="A46" s="10"/>
      <c r="B46" s="55"/>
      <c r="C46" s="10"/>
      <c r="D46" s="10"/>
      <c r="E46" s="10"/>
      <c r="F46" s="10"/>
      <c r="G46" s="10"/>
      <c r="H46" s="10"/>
      <c r="I46" s="10"/>
      <c r="J46" s="10"/>
      <c r="K46" s="50"/>
      <c r="L46" s="50"/>
      <c r="M46" s="50"/>
    </row>
    <row r="47" spans="1:13">
      <c r="A47" s="10"/>
      <c r="B47" s="55"/>
      <c r="C47" s="10"/>
      <c r="D47" s="10"/>
      <c r="E47" s="10"/>
      <c r="F47" s="10"/>
      <c r="G47" s="10"/>
      <c r="H47" s="10"/>
      <c r="I47" s="56" t="s">
        <v>550</v>
      </c>
      <c r="J47" s="50"/>
      <c r="K47" s="50"/>
      <c r="L47" s="254">
        <v>0.01</v>
      </c>
      <c r="M47" s="50"/>
    </row>
    <row r="48" spans="1:13">
      <c r="A48" s="10"/>
      <c r="B48" s="55"/>
      <c r="C48" s="10"/>
      <c r="D48" s="10"/>
      <c r="E48" s="10"/>
      <c r="F48" s="10"/>
      <c r="G48" s="10"/>
      <c r="H48" s="10"/>
      <c r="I48" s="10"/>
      <c r="J48" s="50"/>
      <c r="K48" s="50"/>
      <c r="L48" s="50"/>
      <c r="M48" s="50"/>
    </row>
    <row r="49" spans="1:13">
      <c r="A49" s="10"/>
      <c r="B49" s="55"/>
      <c r="C49" s="10"/>
      <c r="D49" s="10"/>
      <c r="E49" s="10"/>
      <c r="F49" s="10"/>
      <c r="G49" s="10"/>
      <c r="H49" s="10"/>
      <c r="I49" s="10"/>
      <c r="J49" s="50"/>
      <c r="K49" s="50"/>
      <c r="L49" s="50"/>
      <c r="M49" s="50"/>
    </row>
    <row r="50" spans="1:13">
      <c r="A50" s="10"/>
      <c r="B50" s="49" t="s">
        <v>323</v>
      </c>
      <c r="C50" s="10"/>
      <c r="D50" s="10"/>
      <c r="E50" s="10"/>
      <c r="F50" s="10"/>
      <c r="G50" s="10"/>
      <c r="H50" s="10"/>
      <c r="I50" s="10"/>
      <c r="J50" s="50"/>
      <c r="K50" s="50"/>
      <c r="L50" s="50"/>
      <c r="M50" s="50"/>
    </row>
    <row r="51" spans="1:13">
      <c r="A51" s="10"/>
      <c r="B51" s="10"/>
      <c r="C51" s="10"/>
      <c r="D51" s="10"/>
      <c r="E51" s="10"/>
      <c r="F51" s="10"/>
      <c r="G51" s="10"/>
      <c r="H51" s="10"/>
      <c r="I51" s="10"/>
      <c r="J51" s="50"/>
      <c r="K51" s="50"/>
      <c r="L51" s="50"/>
      <c r="M51" s="50"/>
    </row>
    <row r="52" spans="1:13">
      <c r="A52" s="10"/>
      <c r="B52" s="10" t="s">
        <v>489</v>
      </c>
      <c r="C52" s="10"/>
      <c r="D52" s="10"/>
      <c r="E52" s="10"/>
      <c r="F52" s="10"/>
      <c r="G52" s="10"/>
      <c r="H52" s="10"/>
      <c r="I52" s="10"/>
      <c r="J52" s="50"/>
      <c r="K52" s="50"/>
      <c r="L52" s="50"/>
      <c r="M52" s="50"/>
    </row>
    <row r="53" spans="1:13">
      <c r="A53" s="347"/>
      <c r="B53" s="347"/>
      <c r="C53" s="347"/>
      <c r="D53" s="347"/>
      <c r="E53" s="347"/>
      <c r="F53" s="347"/>
      <c r="G53" s="347"/>
      <c r="H53" s="347"/>
      <c r="I53" s="347"/>
      <c r="J53" s="347"/>
      <c r="K53" s="347"/>
      <c r="L53" s="347"/>
      <c r="M53" s="347"/>
    </row>
  </sheetData>
  <printOptions horizontalCentered="1"/>
  <pageMargins left="0.5" right="0.5" top="0.75" bottom="0.75" header="0.33" footer="0.33"/>
  <pageSetup orientation="portrait" blackAndWhite="1" r:id="rId1"/>
  <headerFooter scaleWithDoc="0">
    <oddHeader>&amp;R&amp;"Arial,Regular"&amp;10Exhibit 6.2</oddHeader>
  </headerFooter>
  <ignoredErrors>
    <ignoredError sqref="D4:L4"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M52"/>
  <sheetViews>
    <sheetView zoomScaleNormal="100" workbookViewId="0"/>
  </sheetViews>
  <sheetFormatPr defaultColWidth="9.140625" defaultRowHeight="12.75"/>
  <cols>
    <col min="1" max="1" width="4" style="174" customWidth="1"/>
    <col min="2" max="2" width="9.140625" style="174"/>
    <col min="3" max="3" width="5" style="174" customWidth="1"/>
    <col min="4" max="4" width="9.140625" style="174"/>
    <col min="5" max="5" width="5" style="174" customWidth="1"/>
    <col min="6" max="6" width="9.140625" style="174"/>
    <col min="7" max="7" width="5" style="174" customWidth="1"/>
    <col min="8" max="8" width="9.140625" style="174"/>
    <col min="9" max="9" width="5" style="174" customWidth="1"/>
    <col min="10" max="10" width="9.140625" style="174"/>
    <col min="11" max="11" width="5" style="174" customWidth="1"/>
    <col min="12" max="12" width="9.140625" style="174"/>
    <col min="13" max="13" width="5" style="174" customWidth="1"/>
    <col min="14" max="16384" width="9.140625" style="174"/>
  </cols>
  <sheetData>
    <row r="1" spans="1:13">
      <c r="A1" s="245" t="s">
        <v>202</v>
      </c>
      <c r="B1" s="245"/>
      <c r="C1" s="245"/>
      <c r="D1" s="245"/>
      <c r="E1" s="245"/>
      <c r="F1" s="245"/>
      <c r="G1" s="245"/>
      <c r="H1" s="245"/>
      <c r="I1" s="245"/>
      <c r="J1" s="245"/>
      <c r="K1" s="245"/>
      <c r="L1" s="245"/>
      <c r="M1" s="245"/>
    </row>
    <row r="2" spans="1:13">
      <c r="A2" s="245" t="str">
        <f>'Exhibit 3.1'!$A$3</f>
        <v>Based on Experience as of December 31, 2021</v>
      </c>
      <c r="B2" s="245"/>
      <c r="C2" s="245"/>
      <c r="D2" s="245"/>
      <c r="E2" s="245"/>
      <c r="F2" s="245"/>
      <c r="G2" s="245"/>
      <c r="H2" s="245"/>
      <c r="I2" s="245"/>
      <c r="J2" s="245"/>
      <c r="K2" s="245"/>
      <c r="L2" s="245"/>
      <c r="M2" s="245"/>
    </row>
    <row r="4" spans="1:13">
      <c r="D4" s="27" t="s">
        <v>45</v>
      </c>
      <c r="E4" s="27"/>
      <c r="F4" s="27" t="s">
        <v>46</v>
      </c>
      <c r="H4" s="27" t="s">
        <v>47</v>
      </c>
      <c r="J4" s="27" t="s">
        <v>48</v>
      </c>
      <c r="K4" s="27"/>
      <c r="L4" s="27" t="s">
        <v>50</v>
      </c>
    </row>
    <row r="5" spans="1:13">
      <c r="D5" s="177" t="s">
        <v>196</v>
      </c>
      <c r="E5" s="177"/>
      <c r="F5" s="177"/>
      <c r="G5" s="56"/>
      <c r="H5" s="177" t="s">
        <v>5</v>
      </c>
      <c r="I5" s="56"/>
      <c r="J5" s="177" t="s">
        <v>55</v>
      </c>
      <c r="K5" s="177"/>
      <c r="L5" s="177"/>
      <c r="M5" s="177"/>
    </row>
    <row r="6" spans="1:13">
      <c r="B6" s="177" t="s">
        <v>197</v>
      </c>
      <c r="D6" s="177" t="s">
        <v>55</v>
      </c>
      <c r="E6" s="177"/>
      <c r="F6" s="177" t="s">
        <v>63</v>
      </c>
      <c r="G6" s="56"/>
      <c r="H6" s="177" t="s">
        <v>142</v>
      </c>
      <c r="I6" s="56"/>
      <c r="J6" s="177" t="s">
        <v>119</v>
      </c>
      <c r="K6" s="177"/>
      <c r="L6" s="177" t="s">
        <v>63</v>
      </c>
      <c r="M6" s="177"/>
    </row>
    <row r="7" spans="1:13">
      <c r="B7" s="26" t="s">
        <v>8</v>
      </c>
      <c r="C7" s="173"/>
      <c r="D7" s="26" t="s">
        <v>203</v>
      </c>
      <c r="E7" s="26"/>
      <c r="F7" s="26" t="s">
        <v>199</v>
      </c>
      <c r="G7" s="77"/>
      <c r="H7" s="26" t="s">
        <v>204</v>
      </c>
      <c r="I7" s="77"/>
      <c r="J7" s="26" t="s">
        <v>198</v>
      </c>
      <c r="K7" s="26"/>
      <c r="L7" s="26" t="s">
        <v>199</v>
      </c>
      <c r="M7" s="26"/>
    </row>
    <row r="8" spans="1:13">
      <c r="B8" s="177"/>
      <c r="D8" s="73"/>
      <c r="E8" s="73"/>
      <c r="F8" s="73"/>
      <c r="H8" s="57"/>
      <c r="J8" s="74" t="s">
        <v>200</v>
      </c>
      <c r="L8" s="177"/>
    </row>
    <row r="9" spans="1:13">
      <c r="B9" s="177"/>
      <c r="D9" s="73"/>
      <c r="E9" s="73"/>
      <c r="F9" s="73"/>
      <c r="H9" s="57"/>
      <c r="L9" s="177"/>
    </row>
    <row r="10" spans="1:13">
      <c r="B10" s="177">
        <f>+'Exhibit 6.2'!B10</f>
        <v>1990</v>
      </c>
      <c r="D10" s="363">
        <v>8827.4893147403673</v>
      </c>
      <c r="E10" s="73"/>
      <c r="F10" s="75" t="s">
        <v>32</v>
      </c>
      <c r="H10" s="424">
        <v>0.95107992788876572</v>
      </c>
      <c r="J10" s="73">
        <f t="shared" ref="J10:J35" si="0">+ROUND(H10*D10,0)</f>
        <v>8396</v>
      </c>
      <c r="K10" s="75"/>
      <c r="L10" s="75" t="s">
        <v>32</v>
      </c>
      <c r="M10" s="75"/>
    </row>
    <row r="11" spans="1:13">
      <c r="B11" s="177">
        <f>+'Exhibit 6.2'!B11</f>
        <v>1991</v>
      </c>
      <c r="D11" s="363">
        <v>9515.5903649188222</v>
      </c>
      <c r="E11" s="73"/>
      <c r="F11" s="50">
        <f t="shared" ref="F11:F28" si="1">+D11/D10-1</f>
        <v>7.7949802672595325E-2</v>
      </c>
      <c r="H11" s="424">
        <v>0.93295814880635108</v>
      </c>
      <c r="J11" s="73">
        <f t="shared" si="0"/>
        <v>8878</v>
      </c>
      <c r="K11" s="50"/>
      <c r="L11" s="50">
        <f t="shared" ref="L11:L30" si="2">+J11/J10-1</f>
        <v>5.7408289661743606E-2</v>
      </c>
      <c r="M11" s="50"/>
    </row>
    <row r="12" spans="1:13">
      <c r="B12" s="177">
        <f>+'Exhibit 6.2'!B12</f>
        <v>1992</v>
      </c>
      <c r="D12" s="363">
        <v>9572.5287210308179</v>
      </c>
      <c r="E12" s="73"/>
      <c r="F12" s="50">
        <f t="shared" si="1"/>
        <v>5.9836913873374531E-3</v>
      </c>
      <c r="H12" s="424">
        <v>0.90127821939462982</v>
      </c>
      <c r="J12" s="73">
        <f t="shared" si="0"/>
        <v>8628</v>
      </c>
      <c r="K12" s="50"/>
      <c r="L12" s="50">
        <f t="shared" si="2"/>
        <v>-2.8159495381842703E-2</v>
      </c>
      <c r="M12" s="50"/>
    </row>
    <row r="13" spans="1:13">
      <c r="B13" s="177">
        <f>+'Exhibit 6.2'!B13</f>
        <v>1993</v>
      </c>
      <c r="D13" s="363">
        <v>10433.125186349689</v>
      </c>
      <c r="E13" s="73"/>
      <c r="F13" s="50">
        <f t="shared" si="1"/>
        <v>8.9902730030795741E-2</v>
      </c>
      <c r="H13" s="424">
        <v>0.8837698548011641</v>
      </c>
      <c r="J13" s="73">
        <f t="shared" si="0"/>
        <v>9220</v>
      </c>
      <c r="K13" s="50"/>
      <c r="L13" s="50">
        <f t="shared" si="2"/>
        <v>6.8613815484469098E-2</v>
      </c>
      <c r="M13" s="50"/>
    </row>
    <row r="14" spans="1:13">
      <c r="B14" s="177">
        <f>+'Exhibit 6.2'!B14</f>
        <v>1994</v>
      </c>
      <c r="D14" s="363">
        <v>11439.298129815914</v>
      </c>
      <c r="E14" s="73"/>
      <c r="F14" s="50">
        <f t="shared" si="1"/>
        <v>9.6440225291522852E-2</v>
      </c>
      <c r="H14" s="424">
        <v>0.92872184977392158</v>
      </c>
      <c r="J14" s="73">
        <f t="shared" si="0"/>
        <v>10624</v>
      </c>
      <c r="K14" s="50"/>
      <c r="L14" s="50">
        <f t="shared" si="2"/>
        <v>0.15227765726681119</v>
      </c>
      <c r="M14" s="50"/>
    </row>
    <row r="15" spans="1:13">
      <c r="B15" s="177">
        <f>+'Exhibit 6.2'!B15</f>
        <v>1995</v>
      </c>
      <c r="D15" s="363">
        <v>13219.857766905223</v>
      </c>
      <c r="E15" s="73"/>
      <c r="F15" s="50">
        <f t="shared" si="1"/>
        <v>0.1556528745805108</v>
      </c>
      <c r="H15" s="424">
        <v>0.92043790859655272</v>
      </c>
      <c r="J15" s="73">
        <f t="shared" si="0"/>
        <v>12168</v>
      </c>
      <c r="K15" s="50"/>
      <c r="L15" s="50">
        <f t="shared" si="2"/>
        <v>0.14533132530120474</v>
      </c>
      <c r="M15" s="50"/>
    </row>
    <row r="16" spans="1:13">
      <c r="B16" s="177">
        <f>+'Exhibit 6.2'!B16</f>
        <v>1996</v>
      </c>
      <c r="D16" s="363">
        <v>14299.39254481277</v>
      </c>
      <c r="E16" s="73"/>
      <c r="F16" s="50">
        <f t="shared" si="1"/>
        <v>8.1660090217465786E-2</v>
      </c>
      <c r="H16" s="424">
        <v>0.91132466197678486</v>
      </c>
      <c r="J16" s="73">
        <f t="shared" si="0"/>
        <v>13031</v>
      </c>
      <c r="K16" s="50"/>
      <c r="L16" s="50">
        <f t="shared" si="2"/>
        <v>7.0923734385272885E-2</v>
      </c>
      <c r="M16" s="50"/>
    </row>
    <row r="17" spans="2:13">
      <c r="B17" s="177">
        <f>+'Exhibit 6.2'!B17</f>
        <v>1997</v>
      </c>
      <c r="D17" s="363">
        <v>16792.38022738972</v>
      </c>
      <c r="E17" s="73"/>
      <c r="F17" s="50">
        <f t="shared" si="1"/>
        <v>0.17434220892700103</v>
      </c>
      <c r="H17" s="424">
        <v>0.90498973383990566</v>
      </c>
      <c r="J17" s="73">
        <f t="shared" si="0"/>
        <v>15197</v>
      </c>
      <c r="K17" s="50"/>
      <c r="L17" s="50">
        <f t="shared" si="2"/>
        <v>0.16621901619215707</v>
      </c>
      <c r="M17" s="50"/>
    </row>
    <row r="18" spans="2:13">
      <c r="B18" s="177">
        <f>+'Exhibit 6.2'!B18</f>
        <v>1998</v>
      </c>
      <c r="D18" s="363">
        <v>20429.642806903052</v>
      </c>
      <c r="E18" s="73"/>
      <c r="F18" s="50">
        <f t="shared" si="1"/>
        <v>0.21660196650267993</v>
      </c>
      <c r="H18" s="424">
        <v>0.79734216308599215</v>
      </c>
      <c r="J18" s="73">
        <f t="shared" si="0"/>
        <v>16289</v>
      </c>
      <c r="K18" s="50"/>
      <c r="L18" s="50">
        <f t="shared" si="2"/>
        <v>7.1856287425149601E-2</v>
      </c>
      <c r="M18" s="50"/>
    </row>
    <row r="19" spans="2:13">
      <c r="B19" s="177">
        <f>+'Exhibit 6.2'!B19</f>
        <v>1999</v>
      </c>
      <c r="D19" s="363">
        <v>23458.27986971569</v>
      </c>
      <c r="E19" s="73"/>
      <c r="F19" s="50">
        <f t="shared" si="1"/>
        <v>0.14824718627920808</v>
      </c>
      <c r="H19" s="424">
        <v>0.69084795138066313</v>
      </c>
      <c r="J19" s="73">
        <f t="shared" si="0"/>
        <v>16206</v>
      </c>
      <c r="K19" s="50"/>
      <c r="L19" s="50">
        <f t="shared" si="2"/>
        <v>-5.0954631960218322E-3</v>
      </c>
      <c r="M19" s="50"/>
    </row>
    <row r="20" spans="2:13">
      <c r="B20" s="177">
        <f>+'Exhibit 6.2'!B20</f>
        <v>2000</v>
      </c>
      <c r="D20" s="363">
        <v>26242.1274602663</v>
      </c>
      <c r="E20" s="73"/>
      <c r="F20" s="50">
        <f t="shared" si="1"/>
        <v>0.11867228142948871</v>
      </c>
      <c r="H20" s="424">
        <v>0.6348596765093073</v>
      </c>
      <c r="J20" s="73">
        <f t="shared" si="0"/>
        <v>16660</v>
      </c>
      <c r="K20" s="50"/>
      <c r="L20" s="50">
        <f t="shared" si="2"/>
        <v>2.8014315685548574E-2</v>
      </c>
      <c r="M20" s="50"/>
    </row>
    <row r="21" spans="2:13">
      <c r="B21" s="177">
        <f>+'Exhibit 6.2'!B21</f>
        <v>2001</v>
      </c>
      <c r="D21" s="363">
        <v>31235.098848771791</v>
      </c>
      <c r="E21" s="73"/>
      <c r="F21" s="50">
        <f t="shared" si="1"/>
        <v>0.19026549566400219</v>
      </c>
      <c r="H21" s="424">
        <v>0.57876887022073498</v>
      </c>
      <c r="J21" s="73">
        <f t="shared" si="0"/>
        <v>18078</v>
      </c>
      <c r="K21" s="50"/>
      <c r="L21" s="50">
        <f t="shared" si="2"/>
        <v>8.5114045618247314E-2</v>
      </c>
      <c r="M21" s="50"/>
    </row>
    <row r="22" spans="2:13">
      <c r="B22" s="177">
        <f>+'Exhibit 6.2'!B22</f>
        <v>2002</v>
      </c>
      <c r="D22" s="363">
        <v>31374.778165263433</v>
      </c>
      <c r="E22" s="73"/>
      <c r="F22" s="50">
        <f t="shared" si="1"/>
        <v>4.471870480318163E-3</v>
      </c>
      <c r="H22" s="424">
        <v>0.60108099682279725</v>
      </c>
      <c r="J22" s="73">
        <f t="shared" si="0"/>
        <v>18859</v>
      </c>
      <c r="K22" s="50"/>
      <c r="L22" s="50">
        <f t="shared" si="2"/>
        <v>4.3201681601947151E-2</v>
      </c>
      <c r="M22" s="50"/>
    </row>
    <row r="23" spans="2:13">
      <c r="B23" s="177">
        <f>+'Exhibit 6.2'!B23</f>
        <v>2003</v>
      </c>
      <c r="D23" s="363">
        <v>30033.905179802441</v>
      </c>
      <c r="E23" s="73"/>
      <c r="F23" s="50">
        <f t="shared" si="1"/>
        <v>-4.2737289755423347E-2</v>
      </c>
      <c r="H23" s="424">
        <v>0.63061920015820772</v>
      </c>
      <c r="J23" s="73">
        <f t="shared" si="0"/>
        <v>18940</v>
      </c>
      <c r="K23" s="50"/>
      <c r="L23" s="50">
        <f t="shared" si="2"/>
        <v>4.2950315499230562E-3</v>
      </c>
      <c r="M23" s="50"/>
    </row>
    <row r="24" spans="2:13">
      <c r="B24" s="177">
        <f>+'Exhibit 6.2'!B24</f>
        <v>2004</v>
      </c>
      <c r="D24" s="363">
        <v>27646.678899455263</v>
      </c>
      <c r="E24" s="73"/>
      <c r="F24" s="50">
        <f t="shared" si="1"/>
        <v>-7.9484378273677492E-2</v>
      </c>
      <c r="H24" s="424">
        <v>0.83415238116165047</v>
      </c>
      <c r="J24" s="73">
        <f t="shared" si="0"/>
        <v>23062</v>
      </c>
      <c r="K24" s="50"/>
      <c r="L24" s="50">
        <f t="shared" si="2"/>
        <v>0.21763463569165786</v>
      </c>
      <c r="M24" s="50"/>
    </row>
    <row r="25" spans="2:13">
      <c r="B25" s="177">
        <f>+'Exhibit 6.2'!B25</f>
        <v>2005</v>
      </c>
      <c r="D25" s="363">
        <v>28513.694785447376</v>
      </c>
      <c r="E25" s="73"/>
      <c r="F25" s="50">
        <f t="shared" si="1"/>
        <v>3.1360580022839368E-2</v>
      </c>
      <c r="H25" s="424">
        <v>0.83415238116165047</v>
      </c>
      <c r="J25" s="73">
        <f t="shared" si="0"/>
        <v>23785</v>
      </c>
      <c r="K25" s="50"/>
      <c r="L25" s="50">
        <f t="shared" si="2"/>
        <v>3.1350273176654175E-2</v>
      </c>
      <c r="M25" s="50"/>
    </row>
    <row r="26" spans="2:13">
      <c r="B26" s="177">
        <f>+'Exhibit 6.2'!B26</f>
        <v>2006</v>
      </c>
      <c r="D26" s="363">
        <v>30998.37596633346</v>
      </c>
      <c r="E26" s="73"/>
      <c r="F26" s="50">
        <f t="shared" si="1"/>
        <v>8.7139923450194168E-2</v>
      </c>
      <c r="H26" s="424">
        <v>0.83082658235249363</v>
      </c>
      <c r="J26" s="73">
        <f t="shared" si="0"/>
        <v>25754</v>
      </c>
      <c r="K26" s="50"/>
      <c r="L26" s="50">
        <f t="shared" si="2"/>
        <v>8.278326676476766E-2</v>
      </c>
      <c r="M26" s="50"/>
    </row>
    <row r="27" spans="2:13">
      <c r="B27" s="177">
        <f>+'Exhibit 6.2'!B27</f>
        <v>2007</v>
      </c>
      <c r="D27" s="363">
        <v>34503.818249093558</v>
      </c>
      <c r="E27" s="73"/>
      <c r="F27" s="50">
        <f t="shared" si="1"/>
        <v>0.11308470761717548</v>
      </c>
      <c r="H27" s="424">
        <v>0.81532081116574351</v>
      </c>
      <c r="J27" s="73">
        <f t="shared" si="0"/>
        <v>28132</v>
      </c>
      <c r="K27" s="50"/>
      <c r="L27" s="50">
        <f t="shared" si="2"/>
        <v>9.2335171235536251E-2</v>
      </c>
      <c r="M27" s="50"/>
    </row>
    <row r="28" spans="2:13">
      <c r="B28" s="177">
        <f>+'Exhibit 6.2'!B28</f>
        <v>2008</v>
      </c>
      <c r="D28" s="363">
        <v>37045.973012949151</v>
      </c>
      <c r="E28" s="73"/>
      <c r="F28" s="50">
        <f t="shared" si="1"/>
        <v>7.3677491154834129E-2</v>
      </c>
      <c r="H28" s="424">
        <v>0.8120692857456181</v>
      </c>
      <c r="J28" s="73">
        <f t="shared" si="0"/>
        <v>30084</v>
      </c>
      <c r="K28" s="50"/>
      <c r="L28" s="50">
        <f t="shared" si="2"/>
        <v>6.9387174747618463E-2</v>
      </c>
      <c r="M28" s="50"/>
    </row>
    <row r="29" spans="2:13">
      <c r="B29" s="177">
        <f>+'Exhibit 6.2'!B29</f>
        <v>2009</v>
      </c>
      <c r="D29" s="363">
        <v>38979.430374436844</v>
      </c>
      <c r="E29" s="73"/>
      <c r="F29" s="50">
        <f>+D29/D28-1</f>
        <v>5.2190756625878576E-2</v>
      </c>
      <c r="H29" s="424">
        <v>0.8088339499458348</v>
      </c>
      <c r="J29" s="73">
        <f t="shared" si="0"/>
        <v>31528</v>
      </c>
      <c r="K29" s="50"/>
      <c r="L29" s="50">
        <f t="shared" si="2"/>
        <v>4.7998936311660634E-2</v>
      </c>
      <c r="M29" s="50"/>
    </row>
    <row r="30" spans="2:13">
      <c r="B30" s="176">
        <f>+'Exhibit 6.2'!B30</f>
        <v>2010</v>
      </c>
      <c r="C30" s="78"/>
      <c r="D30" s="423">
        <v>38966.006086391404</v>
      </c>
      <c r="E30" s="79"/>
      <c r="F30" s="80">
        <f>+D30/D29-1</f>
        <v>-3.4439415652021133E-4</v>
      </c>
      <c r="G30" s="78"/>
      <c r="H30" s="295">
        <v>0.80641470582834984</v>
      </c>
      <c r="I30" s="78"/>
      <c r="J30" s="79">
        <f t="shared" si="0"/>
        <v>31423</v>
      </c>
      <c r="K30" s="80"/>
      <c r="L30" s="80">
        <f t="shared" si="2"/>
        <v>-3.3303730017761879E-3</v>
      </c>
      <c r="M30" s="50"/>
    </row>
    <row r="31" spans="2:13">
      <c r="B31" s="177">
        <f>+'Exhibit 6.2'!B31</f>
        <v>2011</v>
      </c>
      <c r="D31" s="363">
        <v>35077.749225613414</v>
      </c>
      <c r="E31" s="73" t="s">
        <v>38</v>
      </c>
      <c r="F31" s="75" t="s">
        <v>32</v>
      </c>
      <c r="H31" s="424">
        <v>0.82886876055169545</v>
      </c>
      <c r="J31" s="73">
        <f t="shared" si="0"/>
        <v>29075</v>
      </c>
      <c r="K31" s="73" t="s">
        <v>38</v>
      </c>
      <c r="L31" s="75" t="s">
        <v>32</v>
      </c>
      <c r="M31" s="73"/>
    </row>
    <row r="32" spans="2:13">
      <c r="B32" s="177">
        <f>+'Exhibit 6.2'!B32</f>
        <v>2012</v>
      </c>
      <c r="D32" s="363">
        <v>32819.776636545277</v>
      </c>
      <c r="E32" s="73"/>
      <c r="F32" s="50">
        <f t="shared" ref="F32:F41" si="3">+D32/D31-1</f>
        <v>-6.4370509480106253E-2</v>
      </c>
      <c r="H32" s="424">
        <v>0.87530731483283697</v>
      </c>
      <c r="J32" s="73">
        <f t="shared" si="0"/>
        <v>28727</v>
      </c>
      <c r="K32" s="73"/>
      <c r="L32" s="50">
        <f t="shared" ref="L32:L41" si="4">+J32/J31-1</f>
        <v>-1.1969045571797121E-2</v>
      </c>
      <c r="M32" s="73"/>
    </row>
    <row r="33" spans="1:13">
      <c r="B33" s="177">
        <f>+'Exhibit 6.2'!B33</f>
        <v>2013</v>
      </c>
      <c r="D33" s="363">
        <v>30307.974881999486</v>
      </c>
      <c r="E33" s="73"/>
      <c r="F33" s="50">
        <f t="shared" si="3"/>
        <v>-7.653317639428614E-2</v>
      </c>
      <c r="H33" s="424">
        <v>0.95358002393771657</v>
      </c>
      <c r="J33" s="73">
        <f t="shared" si="0"/>
        <v>28901</v>
      </c>
      <c r="K33" s="73"/>
      <c r="L33" s="50">
        <f t="shared" si="4"/>
        <v>6.0570195286664408E-3</v>
      </c>
      <c r="M33" s="50"/>
    </row>
    <row r="34" spans="1:13">
      <c r="B34" s="177">
        <f>+'Exhibit 6.2'!B34</f>
        <v>2014</v>
      </c>
      <c r="D34" s="363">
        <v>29471.226672976114</v>
      </c>
      <c r="E34" s="73"/>
      <c r="F34" s="50">
        <f t="shared" si="3"/>
        <v>-2.7608186039520977E-2</v>
      </c>
      <c r="H34" s="424">
        <v>1.0146508435607975</v>
      </c>
      <c r="J34" s="73">
        <f t="shared" si="0"/>
        <v>29903</v>
      </c>
      <c r="K34" s="73"/>
      <c r="L34" s="50">
        <f t="shared" si="4"/>
        <v>3.4670080620047727E-2</v>
      </c>
      <c r="M34" s="50"/>
    </row>
    <row r="35" spans="1:13">
      <c r="B35" s="177">
        <f>+'Exhibit 6.2'!B35</f>
        <v>2015</v>
      </c>
      <c r="D35" s="363">
        <v>28804.643718097119</v>
      </c>
      <c r="E35" s="73"/>
      <c r="F35" s="50">
        <f t="shared" si="3"/>
        <v>-2.2618093310999621E-2</v>
      </c>
      <c r="H35" s="424">
        <v>1.0385903511549184</v>
      </c>
      <c r="J35" s="73">
        <f t="shared" si="0"/>
        <v>29916</v>
      </c>
      <c r="K35" s="73"/>
      <c r="L35" s="50">
        <f t="shared" si="4"/>
        <v>4.3473898939905276E-4</v>
      </c>
      <c r="M35" s="50"/>
    </row>
    <row r="36" spans="1:13">
      <c r="B36" s="177">
        <f>+'Exhibit 6.2'!B36</f>
        <v>2016</v>
      </c>
      <c r="D36" s="363">
        <v>27553.664262353654</v>
      </c>
      <c r="E36" s="73"/>
      <c r="F36" s="50">
        <f t="shared" si="3"/>
        <v>-4.3429784030187824E-2</v>
      </c>
      <c r="H36" s="424">
        <v>1.0406967213188678</v>
      </c>
      <c r="J36" s="73">
        <f>+ROUND(H36*D36,0)</f>
        <v>28675</v>
      </c>
      <c r="K36" s="73"/>
      <c r="L36" s="50">
        <f t="shared" si="4"/>
        <v>-4.1482818558630785E-2</v>
      </c>
      <c r="M36" s="50"/>
    </row>
    <row r="37" spans="1:13" s="204" customFormat="1">
      <c r="B37" s="206">
        <f>+'Exhibit 6.2'!B37</f>
        <v>2017</v>
      </c>
      <c r="D37" s="363">
        <v>27433.066940639183</v>
      </c>
      <c r="E37" s="73"/>
      <c r="F37" s="50">
        <f t="shared" si="3"/>
        <v>-4.3768161129568162E-3</v>
      </c>
      <c r="H37" s="424">
        <v>1.0417447165036704</v>
      </c>
      <c r="J37" s="73">
        <f t="shared" ref="J37:J41" si="5">+ROUND(H37*D37,0)</f>
        <v>28578</v>
      </c>
      <c r="K37" s="73"/>
      <c r="L37" s="50">
        <f t="shared" si="4"/>
        <v>-3.3827375762859324E-3</v>
      </c>
      <c r="M37" s="50"/>
    </row>
    <row r="38" spans="1:13" s="284" customFormat="1">
      <c r="B38" s="252">
        <f>+'Exhibit 6.2'!B38</f>
        <v>2018</v>
      </c>
      <c r="D38" s="363">
        <v>28971.349136434157</v>
      </c>
      <c r="E38" s="73"/>
      <c r="F38" s="50">
        <f t="shared" si="3"/>
        <v>5.6074014586979137E-2</v>
      </c>
      <c r="H38" s="424">
        <v>1.0386267589732328</v>
      </c>
      <c r="J38" s="73">
        <f t="shared" si="5"/>
        <v>30090</v>
      </c>
      <c r="K38" s="73"/>
      <c r="L38" s="50">
        <f t="shared" si="4"/>
        <v>5.2907831198824251E-2</v>
      </c>
      <c r="M38" s="50"/>
    </row>
    <row r="39" spans="1:13" s="466" customFormat="1">
      <c r="B39" s="252">
        <f>+'Exhibit 6.2'!B39</f>
        <v>2019</v>
      </c>
      <c r="D39" s="363">
        <v>29370.652167981367</v>
      </c>
      <c r="E39" s="73"/>
      <c r="F39" s="50">
        <f t="shared" si="3"/>
        <v>1.3782686807810807E-2</v>
      </c>
      <c r="H39" s="424">
        <v>1.0283188904157057</v>
      </c>
      <c r="J39" s="73">
        <f t="shared" si="5"/>
        <v>30202</v>
      </c>
      <c r="K39" s="73"/>
      <c r="L39" s="50">
        <f t="shared" si="4"/>
        <v>3.7221668328348834E-3</v>
      </c>
      <c r="M39" s="50"/>
    </row>
    <row r="40" spans="1:13" s="502" customFormat="1">
      <c r="B40" s="252">
        <f>+'Exhibit 6.2'!B40</f>
        <v>2020</v>
      </c>
      <c r="D40" s="363">
        <v>30517.762805324455</v>
      </c>
      <c r="E40" s="73"/>
      <c r="F40" s="50">
        <f t="shared" si="3"/>
        <v>3.9056355670359366E-2</v>
      </c>
      <c r="H40" s="424">
        <v>1.0160932563552394</v>
      </c>
      <c r="J40" s="73">
        <f t="shared" si="5"/>
        <v>31009</v>
      </c>
      <c r="K40" s="73"/>
      <c r="L40" s="50">
        <f t="shared" si="4"/>
        <v>2.6720084762598573E-2</v>
      </c>
      <c r="M40" s="50"/>
    </row>
    <row r="41" spans="1:13">
      <c r="B41" s="252">
        <f>+'Exhibit 6.2'!B41</f>
        <v>2021</v>
      </c>
      <c r="C41" s="233"/>
      <c r="D41" s="363">
        <v>30081.226730386174</v>
      </c>
      <c r="E41" s="73"/>
      <c r="F41" s="50">
        <f t="shared" si="3"/>
        <v>-1.4304327539439443E-2</v>
      </c>
      <c r="G41" s="233"/>
      <c r="H41" s="424">
        <v>1.0080220240089994</v>
      </c>
      <c r="I41" s="233"/>
      <c r="J41" s="73">
        <f t="shared" si="5"/>
        <v>30323</v>
      </c>
      <c r="K41" s="73"/>
      <c r="L41" s="50">
        <f t="shared" si="4"/>
        <v>-2.2122609564965035E-2</v>
      </c>
      <c r="M41" s="50"/>
    </row>
    <row r="42" spans="1:13" s="233" customFormat="1">
      <c r="B42" s="235"/>
      <c r="D42" s="73"/>
      <c r="E42" s="73"/>
      <c r="F42" s="50"/>
      <c r="H42" s="57"/>
      <c r="J42" s="73"/>
      <c r="K42" s="73"/>
      <c r="L42" s="50"/>
      <c r="M42" s="50"/>
    </row>
    <row r="43" spans="1:13">
      <c r="B43" s="56"/>
    </row>
    <row r="44" spans="1:13">
      <c r="B44" s="56"/>
      <c r="I44" s="203" t="s">
        <v>214</v>
      </c>
      <c r="L44" s="254">
        <v>1.4999999999999999E-2</v>
      </c>
    </row>
    <row r="45" spans="1:13">
      <c r="B45" s="56"/>
    </row>
    <row r="46" spans="1:13">
      <c r="B46" s="56"/>
    </row>
    <row r="47" spans="1:13" ht="42" customHeight="1">
      <c r="A47" s="143" t="s">
        <v>22</v>
      </c>
      <c r="B47" s="521" t="s">
        <v>551</v>
      </c>
      <c r="C47" s="521"/>
      <c r="D47" s="521"/>
      <c r="E47" s="521"/>
      <c r="F47" s="521"/>
      <c r="G47" s="521"/>
      <c r="H47" s="521"/>
      <c r="I47" s="521"/>
      <c r="J47" s="521"/>
      <c r="K47" s="521"/>
      <c r="L47" s="521"/>
      <c r="M47" s="521"/>
    </row>
    <row r="48" spans="1:13" ht="39" customHeight="1">
      <c r="A48" s="143" t="s">
        <v>28</v>
      </c>
      <c r="B48" s="521" t="s">
        <v>552</v>
      </c>
      <c r="C48" s="521"/>
      <c r="D48" s="521"/>
      <c r="E48" s="521"/>
      <c r="F48" s="521"/>
      <c r="G48" s="521"/>
      <c r="H48" s="521"/>
      <c r="I48" s="521"/>
      <c r="J48" s="521"/>
      <c r="K48" s="521"/>
      <c r="L48" s="521"/>
      <c r="M48" s="521"/>
    </row>
    <row r="49" spans="1:13" ht="27" customHeight="1">
      <c r="A49" s="143" t="s">
        <v>38</v>
      </c>
      <c r="B49" s="521" t="s">
        <v>553</v>
      </c>
      <c r="C49" s="521"/>
      <c r="D49" s="521"/>
      <c r="E49" s="521"/>
      <c r="F49" s="521"/>
      <c r="G49" s="521"/>
      <c r="H49" s="521"/>
      <c r="I49" s="521"/>
      <c r="J49" s="521"/>
      <c r="K49" s="521"/>
      <c r="L49" s="521"/>
      <c r="M49" s="521"/>
    </row>
    <row r="51" spans="1:13">
      <c r="B51" s="174" t="s">
        <v>489</v>
      </c>
    </row>
    <row r="52" spans="1:13">
      <c r="A52" s="502"/>
      <c r="B52" s="502"/>
      <c r="C52" s="502"/>
      <c r="D52" s="502"/>
      <c r="E52" s="502"/>
      <c r="F52" s="502"/>
      <c r="G52" s="502"/>
      <c r="H52" s="502"/>
      <c r="I52" s="502"/>
      <c r="J52" s="502"/>
      <c r="K52" s="502"/>
      <c r="L52" s="502"/>
      <c r="M52" s="502"/>
    </row>
  </sheetData>
  <mergeCells count="3">
    <mergeCell ref="B47:M47"/>
    <mergeCell ref="B48:M48"/>
    <mergeCell ref="B49:M49"/>
  </mergeCells>
  <printOptions horizontalCentered="1"/>
  <pageMargins left="0.5" right="0.5" top="0.75" bottom="0.75" header="0.33" footer="0.33"/>
  <pageSetup scale="96" orientation="portrait" blackAndWhite="1" r:id="rId1"/>
  <headerFooter scaleWithDoc="0">
    <oddHeader>&amp;R&amp;"Arial,Regular"&amp;10Exhibit 6.3</oddHeader>
  </headerFooter>
  <ignoredErrors>
    <ignoredError sqref="D4:L4"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Q43"/>
  <sheetViews>
    <sheetView zoomScaleNormal="100" workbookViewId="0"/>
  </sheetViews>
  <sheetFormatPr defaultColWidth="9.140625" defaultRowHeight="12.75"/>
  <cols>
    <col min="1" max="1" width="9.140625" style="108"/>
    <col min="2" max="2" width="11.28515625" style="108" customWidth="1"/>
    <col min="3" max="3" width="3.7109375" style="108" customWidth="1"/>
    <col min="4" max="4" width="11.28515625" style="108" customWidth="1"/>
    <col min="5" max="5" width="3.7109375" style="108" customWidth="1"/>
    <col min="6" max="6" width="11.28515625" style="108" customWidth="1"/>
    <col min="7" max="7" width="3.7109375" style="108" customWidth="1"/>
    <col min="8" max="8" width="11.28515625" style="108" customWidth="1"/>
    <col min="9" max="9" width="3.7109375" style="108" customWidth="1"/>
    <col min="10" max="10" width="11.28515625" style="108" customWidth="1"/>
    <col min="11" max="11" width="4" style="108" customWidth="1"/>
    <col min="12" max="12" width="11.28515625" style="108" customWidth="1"/>
    <col min="13" max="13" width="3.7109375" style="108" customWidth="1"/>
    <col min="14" max="14" width="11.28515625" style="108" customWidth="1"/>
    <col min="15" max="15" width="3.7109375" style="108" customWidth="1"/>
    <col min="16" max="16" width="11.28515625" style="108" customWidth="1"/>
    <col min="17" max="17" width="3.7109375" style="108" customWidth="1"/>
    <col min="18" max="16384" width="9.140625" style="108"/>
  </cols>
  <sheetData>
    <row r="1" spans="1:17">
      <c r="A1" s="273" t="s">
        <v>202</v>
      </c>
      <c r="B1" s="274"/>
      <c r="C1" s="274"/>
      <c r="D1" s="274"/>
      <c r="E1" s="274"/>
      <c r="F1" s="274"/>
      <c r="G1" s="274"/>
      <c r="H1" s="274"/>
      <c r="I1" s="274"/>
      <c r="J1" s="274"/>
      <c r="K1" s="274"/>
      <c r="L1" s="274"/>
      <c r="M1" s="274"/>
      <c r="N1" s="274"/>
      <c r="O1" s="274"/>
      <c r="P1" s="274"/>
      <c r="Q1" s="274"/>
    </row>
    <row r="2" spans="1:17">
      <c r="A2" s="273" t="s">
        <v>205</v>
      </c>
      <c r="B2" s="274"/>
      <c r="C2" s="274"/>
      <c r="D2" s="274"/>
      <c r="E2" s="274"/>
      <c r="F2" s="274"/>
      <c r="G2" s="274"/>
      <c r="H2" s="274"/>
      <c r="I2" s="274"/>
      <c r="J2" s="274"/>
      <c r="K2" s="274"/>
      <c r="L2" s="274"/>
      <c r="M2" s="274"/>
      <c r="N2" s="274"/>
      <c r="O2" s="274"/>
      <c r="P2" s="274"/>
      <c r="Q2" s="274"/>
    </row>
    <row r="3" spans="1:17">
      <c r="A3" s="245" t="str">
        <f>'Exhibit 3.1'!$A$3</f>
        <v>Based on Experience as of December 31, 2021</v>
      </c>
      <c r="B3" s="274"/>
      <c r="C3" s="274"/>
      <c r="D3" s="274"/>
      <c r="E3" s="274"/>
      <c r="F3" s="274"/>
      <c r="G3" s="274"/>
      <c r="H3" s="274"/>
      <c r="I3" s="274"/>
      <c r="J3" s="274"/>
      <c r="K3" s="274"/>
      <c r="L3" s="274"/>
      <c r="M3" s="274"/>
      <c r="N3" s="274"/>
      <c r="O3" s="274"/>
      <c r="P3" s="274"/>
      <c r="Q3" s="274"/>
    </row>
    <row r="4" spans="1:17">
      <c r="A4" s="81"/>
      <c r="B4" s="81"/>
      <c r="C4" s="81"/>
      <c r="D4" s="81"/>
      <c r="E4" s="81"/>
      <c r="F4" s="81"/>
      <c r="G4" s="81"/>
      <c r="H4" s="81"/>
      <c r="I4" s="81"/>
      <c r="J4" s="81"/>
      <c r="K4" s="81"/>
      <c r="L4" s="81"/>
      <c r="M4" s="81"/>
      <c r="N4" s="81"/>
      <c r="O4" s="81"/>
      <c r="P4" s="81"/>
      <c r="Q4" s="81"/>
    </row>
    <row r="5" spans="1:17">
      <c r="A5" s="81"/>
      <c r="B5" s="81"/>
      <c r="C5" s="81"/>
      <c r="D5" s="81"/>
      <c r="E5" s="81"/>
      <c r="F5" s="81"/>
      <c r="G5" s="81"/>
      <c r="H5" s="81"/>
      <c r="I5" s="81"/>
      <c r="J5" s="543" t="s">
        <v>206</v>
      </c>
      <c r="K5" s="543"/>
      <c r="L5" s="543"/>
      <c r="M5" s="543"/>
      <c r="N5" s="543"/>
      <c r="O5" s="543"/>
      <c r="P5" s="543"/>
      <c r="Q5" s="81"/>
    </row>
    <row r="6" spans="1:17">
      <c r="A6" s="81"/>
      <c r="B6" s="81"/>
      <c r="C6" s="81"/>
      <c r="D6" s="81"/>
      <c r="E6" s="81"/>
      <c r="F6" s="81"/>
      <c r="G6" s="81"/>
      <c r="H6" s="81"/>
      <c r="I6" s="81"/>
      <c r="J6" s="543" t="s">
        <v>207</v>
      </c>
      <c r="K6" s="543"/>
      <c r="L6" s="543"/>
      <c r="M6" s="543"/>
      <c r="N6" s="543"/>
      <c r="O6" s="543"/>
      <c r="P6" s="543"/>
      <c r="Q6" s="81"/>
    </row>
    <row r="7" spans="1:17">
      <c r="A7" s="81"/>
      <c r="B7" s="542" t="s">
        <v>208</v>
      </c>
      <c r="C7" s="542"/>
      <c r="D7" s="542"/>
      <c r="E7" s="542"/>
      <c r="F7" s="542"/>
      <c r="G7" s="542"/>
      <c r="H7" s="542"/>
      <c r="I7" s="81"/>
      <c r="J7" s="542" t="s">
        <v>209</v>
      </c>
      <c r="K7" s="542"/>
      <c r="L7" s="542"/>
      <c r="M7" s="542"/>
      <c r="N7" s="542"/>
      <c r="O7" s="542"/>
      <c r="P7" s="542"/>
      <c r="Q7" s="81"/>
    </row>
    <row r="8" spans="1:17">
      <c r="A8" s="82" t="s">
        <v>45</v>
      </c>
      <c r="B8" s="83" t="s">
        <v>46</v>
      </c>
      <c r="C8" s="83"/>
      <c r="D8" s="83" t="s">
        <v>47</v>
      </c>
      <c r="E8" s="83"/>
      <c r="F8" s="83" t="s">
        <v>48</v>
      </c>
      <c r="G8" s="83"/>
      <c r="H8" s="83" t="s">
        <v>50</v>
      </c>
      <c r="I8" s="123"/>
      <c r="J8" s="83" t="s">
        <v>51</v>
      </c>
      <c r="K8" s="83"/>
      <c r="L8" s="83" t="s">
        <v>131</v>
      </c>
      <c r="M8" s="83"/>
      <c r="N8" s="83" t="s">
        <v>210</v>
      </c>
      <c r="O8" s="83"/>
      <c r="P8" s="83" t="s">
        <v>211</v>
      </c>
      <c r="Q8" s="84"/>
    </row>
    <row r="9" spans="1:17">
      <c r="A9" s="123"/>
      <c r="B9" s="123" t="s">
        <v>196</v>
      </c>
      <c r="C9" s="123"/>
      <c r="D9" s="123"/>
      <c r="E9" s="123"/>
      <c r="F9" s="123" t="s">
        <v>55</v>
      </c>
      <c r="G9" s="123"/>
      <c r="H9" s="123"/>
      <c r="I9" s="123"/>
      <c r="J9" s="123" t="s">
        <v>196</v>
      </c>
      <c r="K9" s="123"/>
      <c r="L9" s="123"/>
      <c r="M9" s="123"/>
      <c r="N9" s="123" t="s">
        <v>55</v>
      </c>
      <c r="O9" s="123"/>
      <c r="P9" s="123"/>
      <c r="Q9" s="84"/>
    </row>
    <row r="10" spans="1:17">
      <c r="A10" s="123" t="s">
        <v>54</v>
      </c>
      <c r="B10" s="123" t="s">
        <v>55</v>
      </c>
      <c r="C10" s="123"/>
      <c r="D10" s="123" t="s">
        <v>63</v>
      </c>
      <c r="E10" s="123"/>
      <c r="F10" s="123" t="s">
        <v>212</v>
      </c>
      <c r="G10" s="123"/>
      <c r="H10" s="123" t="s">
        <v>63</v>
      </c>
      <c r="I10" s="123"/>
      <c r="J10" s="123" t="s">
        <v>55</v>
      </c>
      <c r="K10" s="123"/>
      <c r="L10" s="123" t="s">
        <v>63</v>
      </c>
      <c r="M10" s="123"/>
      <c r="N10" s="123" t="s">
        <v>212</v>
      </c>
      <c r="O10" s="123"/>
      <c r="P10" s="123" t="s">
        <v>63</v>
      </c>
      <c r="Q10" s="84"/>
    </row>
    <row r="11" spans="1:17">
      <c r="A11" s="85" t="s">
        <v>8</v>
      </c>
      <c r="B11" s="85" t="s">
        <v>203</v>
      </c>
      <c r="C11" s="85"/>
      <c r="D11" s="85" t="s">
        <v>199</v>
      </c>
      <c r="E11" s="85"/>
      <c r="F11" s="85" t="s">
        <v>213</v>
      </c>
      <c r="G11" s="85"/>
      <c r="H11" s="85" t="s">
        <v>199</v>
      </c>
      <c r="I11" s="123"/>
      <c r="J11" s="85" t="s">
        <v>203</v>
      </c>
      <c r="K11" s="85"/>
      <c r="L11" s="85" t="s">
        <v>199</v>
      </c>
      <c r="M11" s="85"/>
      <c r="N11" s="85" t="s">
        <v>213</v>
      </c>
      <c r="O11" s="85"/>
      <c r="P11" s="85" t="s">
        <v>199</v>
      </c>
      <c r="Q11" s="84"/>
    </row>
    <row r="12" spans="1:17">
      <c r="A12" s="81"/>
      <c r="B12" s="81"/>
      <c r="C12" s="81"/>
      <c r="D12" s="81"/>
      <c r="E12" s="81"/>
      <c r="F12" s="81"/>
      <c r="G12" s="81"/>
      <c r="H12" s="81"/>
      <c r="I12" s="81"/>
      <c r="J12" s="81"/>
      <c r="K12" s="81"/>
      <c r="L12" s="81"/>
      <c r="M12" s="81"/>
      <c r="N12" s="81"/>
      <c r="O12" s="81"/>
      <c r="P12" s="81"/>
      <c r="Q12" s="81"/>
    </row>
    <row r="13" spans="1:17">
      <c r="A13" s="84">
        <v>2005</v>
      </c>
      <c r="B13" s="269">
        <f>'Exhibit 6.3'!D25</f>
        <v>28513.694785447376</v>
      </c>
      <c r="C13" s="86"/>
      <c r="D13" s="87" t="s">
        <v>32</v>
      </c>
      <c r="E13" s="88"/>
      <c r="F13" s="269">
        <f>INDEX('Exhibit 6.3'!$H$10:$H$41,MATCH($A13,'Exhibit 6.3'!$B$10:$B$41,0))*$B13</f>
        <v>23784.766400997465</v>
      </c>
      <c r="G13" s="88"/>
      <c r="H13" s="87" t="s">
        <v>32</v>
      </c>
      <c r="I13" s="81"/>
      <c r="J13" s="426">
        <v>27038.184881276331</v>
      </c>
      <c r="K13" s="86"/>
      <c r="L13" s="87" t="s">
        <v>32</v>
      </c>
      <c r="M13" s="88"/>
      <c r="N13" s="269">
        <f>INDEX('Exhibit 6.3'!$H$10:$H$41,MATCH($A13,'Exhibit 6.3'!$B$10:$B$41,0))*$J13</f>
        <v>22553.966301005588</v>
      </c>
      <c r="O13" s="88"/>
      <c r="P13" s="87" t="s">
        <v>32</v>
      </c>
      <c r="Q13" s="81"/>
    </row>
    <row r="14" spans="1:17">
      <c r="A14" s="84">
        <f>A13+1</f>
        <v>2006</v>
      </c>
      <c r="B14" s="269">
        <f>'Exhibit 6.3'!D26</f>
        <v>30998.37596633346</v>
      </c>
      <c r="C14" s="86"/>
      <c r="D14" s="88">
        <f t="shared" ref="D14:D29" si="0">B14/B13-1</f>
        <v>8.7139923450194168E-2</v>
      </c>
      <c r="E14" s="88"/>
      <c r="F14" s="269">
        <f>INDEX('Exhibit 6.3'!$H$10:$H$41,MATCH($A14,'Exhibit 6.3'!$B$10:$B$41,0))*$B14</f>
        <v>25754.274762586505</v>
      </c>
      <c r="G14" s="88"/>
      <c r="H14" s="88">
        <f t="shared" ref="H14:H23" si="1">F14/F13-1</f>
        <v>8.2805453220950787E-2</v>
      </c>
      <c r="I14" s="81"/>
      <c r="J14" s="426">
        <v>29084.876660567545</v>
      </c>
      <c r="K14" s="86"/>
      <c r="L14" s="88">
        <f t="shared" ref="L14:L23" si="2">J14/J13-1</f>
        <v>7.5696345308613022E-2</v>
      </c>
      <c r="M14" s="88"/>
      <c r="N14" s="269">
        <f>INDEX('Exhibit 6.3'!$H$10:$H$41,MATCH($A14,'Exhibit 6.3'!$B$10:$B$41,0))*$J14</f>
        <v>24164.488674043139</v>
      </c>
      <c r="O14" s="88"/>
      <c r="P14" s="88">
        <f t="shared" ref="P14:P23" si="3">N14/N13-1</f>
        <v>7.1407501081782954E-2</v>
      </c>
      <c r="Q14" s="81"/>
    </row>
    <row r="15" spans="1:17">
      <c r="A15" s="84">
        <f t="shared" ref="A15:A29" si="4">A14+1</f>
        <v>2007</v>
      </c>
      <c r="B15" s="269">
        <f>'Exhibit 6.3'!D27</f>
        <v>34503.818249093558</v>
      </c>
      <c r="C15" s="86"/>
      <c r="D15" s="88">
        <f t="shared" si="0"/>
        <v>0.11308470761717548</v>
      </c>
      <c r="E15" s="88"/>
      <c r="F15" s="269">
        <f>INDEX('Exhibit 6.3'!$H$10:$H$41,MATCH($A15,'Exhibit 6.3'!$B$10:$B$41,0))*$B15</f>
        <v>28131.681083166342</v>
      </c>
      <c r="G15" s="88"/>
      <c r="H15" s="88">
        <f t="shared" si="1"/>
        <v>9.2311134461977584E-2</v>
      </c>
      <c r="I15" s="81"/>
      <c r="J15" s="426">
        <v>32236.170023452807</v>
      </c>
      <c r="K15" s="86"/>
      <c r="L15" s="88">
        <f t="shared" si="2"/>
        <v>0.10834817694646426</v>
      </c>
      <c r="M15" s="88"/>
      <c r="N15" s="269">
        <f>INDEX('Exhibit 6.3'!$H$10:$H$41,MATCH($A15,'Exhibit 6.3'!$B$10:$B$41,0))*$J15</f>
        <v>26282.820292398366</v>
      </c>
      <c r="O15" s="88"/>
      <c r="P15" s="88">
        <f t="shared" si="3"/>
        <v>8.7663001974905619E-2</v>
      </c>
      <c r="Q15" s="81"/>
    </row>
    <row r="16" spans="1:17">
      <c r="A16" s="84">
        <f t="shared" si="4"/>
        <v>2008</v>
      </c>
      <c r="B16" s="269">
        <f>'Exhibit 6.3'!D28</f>
        <v>37045.973012949151</v>
      </c>
      <c r="C16" s="86"/>
      <c r="D16" s="88">
        <f t="shared" si="0"/>
        <v>7.3677491154834129E-2</v>
      </c>
      <c r="E16" s="88"/>
      <c r="F16" s="269">
        <f>INDEX('Exhibit 6.3'!$H$10:$H$41,MATCH($A16,'Exhibit 6.3'!$B$10:$B$41,0))*$B16</f>
        <v>30083.896844377061</v>
      </c>
      <c r="G16" s="88"/>
      <c r="H16" s="88">
        <f t="shared" si="1"/>
        <v>6.9395631048117412E-2</v>
      </c>
      <c r="I16" s="81"/>
      <c r="J16" s="426">
        <v>33834.715696610743</v>
      </c>
      <c r="K16" s="86"/>
      <c r="L16" s="88">
        <f t="shared" si="2"/>
        <v>4.9588573084052623E-2</v>
      </c>
      <c r="M16" s="88"/>
      <c r="N16" s="269">
        <f>INDEX('Exhibit 6.3'!$H$10:$H$41,MATCH($A16,'Exhibit 6.3'!$B$10:$B$41,0))*$J16</f>
        <v>27476.133409152739</v>
      </c>
      <c r="O16" s="88"/>
      <c r="P16" s="88">
        <f t="shared" si="3"/>
        <v>4.5402780351525118E-2</v>
      </c>
      <c r="Q16" s="81"/>
    </row>
    <row r="17" spans="1:17">
      <c r="A17" s="84">
        <f t="shared" si="4"/>
        <v>2009</v>
      </c>
      <c r="B17" s="269">
        <f>'Exhibit 6.3'!D29</f>
        <v>38979.430374436844</v>
      </c>
      <c r="C17" s="86"/>
      <c r="D17" s="88">
        <f t="shared" si="0"/>
        <v>5.2190756625878576E-2</v>
      </c>
      <c r="E17" s="88"/>
      <c r="F17" s="269">
        <f>INDEX('Exhibit 6.3'!$H$10:$H$41,MATCH($A17,'Exhibit 6.3'!$B$10:$B$41,0))*$B17</f>
        <v>31527.886636394403</v>
      </c>
      <c r="G17" s="88"/>
      <c r="H17" s="88">
        <f t="shared" si="1"/>
        <v>4.799876157956029E-2</v>
      </c>
      <c r="I17" s="81"/>
      <c r="J17" s="426">
        <v>35756.206038476768</v>
      </c>
      <c r="K17" s="86"/>
      <c r="L17" s="88">
        <f t="shared" si="2"/>
        <v>5.6790497638450788E-2</v>
      </c>
      <c r="M17" s="88"/>
      <c r="N17" s="269">
        <f>INDEX('Exhibit 6.3'!$H$10:$H$41,MATCH($A17,'Exhibit 6.3'!$B$10:$B$41,0))*$J17</f>
        <v>28920.833365178274</v>
      </c>
      <c r="O17" s="88"/>
      <c r="P17" s="88">
        <f t="shared" si="3"/>
        <v>5.2580176930727918E-2</v>
      </c>
      <c r="Q17" s="81"/>
    </row>
    <row r="18" spans="1:17">
      <c r="A18" s="84">
        <f t="shared" si="4"/>
        <v>2010</v>
      </c>
      <c r="B18" s="269">
        <f>'Exhibit 6.3'!D30</f>
        <v>38966.006086391404</v>
      </c>
      <c r="C18" s="86"/>
      <c r="D18" s="88">
        <f t="shared" si="0"/>
        <v>-3.4439415652021133E-4</v>
      </c>
      <c r="E18" s="88"/>
      <c r="F18" s="269">
        <f>INDEX('Exhibit 6.3'!$H$10:$H$41,MATCH($A18,'Exhibit 6.3'!$B$10:$B$41,0))*$B18</f>
        <v>31422.760335463012</v>
      </c>
      <c r="G18" s="88"/>
      <c r="H18" s="88">
        <f t="shared" si="1"/>
        <v>-3.3343909835693575E-3</v>
      </c>
      <c r="I18" s="81"/>
      <c r="J18" s="426">
        <v>35708.183626431353</v>
      </c>
      <c r="K18" s="89"/>
      <c r="L18" s="90">
        <f t="shared" si="2"/>
        <v>-1.343051105414772E-3</v>
      </c>
      <c r="M18" s="90"/>
      <c r="N18" s="269">
        <f>INDEX('Exhibit 6.3'!$H$10:$H$41,MATCH($A18,'Exhibit 6.3'!$B$10:$B$41,0))*$J18</f>
        <v>28795.604394773338</v>
      </c>
      <c r="O18" s="90"/>
      <c r="P18" s="88">
        <f t="shared" si="3"/>
        <v>-4.3300609226467612E-3</v>
      </c>
      <c r="Q18" s="81"/>
    </row>
    <row r="19" spans="1:17">
      <c r="A19" s="84">
        <f t="shared" si="4"/>
        <v>2011</v>
      </c>
      <c r="B19" s="425">
        <v>38406.813392803502</v>
      </c>
      <c r="C19" s="86"/>
      <c r="D19" s="88">
        <f t="shared" si="0"/>
        <v>-1.4350782893892577E-2</v>
      </c>
      <c r="E19" s="88"/>
      <c r="F19" s="269">
        <f>INDEX('Exhibit 6.3'!$H$10:$H$41,MATCH($A19,'Exhibit 6.3'!$B$10:$B$41,0))*$B19</f>
        <v>31834.207813633297</v>
      </c>
      <c r="G19" s="88"/>
      <c r="H19" s="88">
        <f t="shared" si="1"/>
        <v>1.3093931716302354E-2</v>
      </c>
      <c r="I19" s="81"/>
      <c r="J19" s="86">
        <f>'Exhibit 6.3'!D31</f>
        <v>35077.749225613414</v>
      </c>
      <c r="K19" s="86"/>
      <c r="L19" s="88">
        <f t="shared" si="2"/>
        <v>-1.7655179759725748E-2</v>
      </c>
      <c r="M19" s="88"/>
      <c r="N19" s="269">
        <f>INDEX('Exhibit 6.3'!$H$10:$H$41,MATCH($A19,'Exhibit 6.3'!$B$10:$B$41,0))*$J19</f>
        <v>29074.850523577385</v>
      </c>
      <c r="O19" s="88"/>
      <c r="P19" s="88">
        <f t="shared" si="3"/>
        <v>9.6975262257295025E-3</v>
      </c>
      <c r="Q19" s="81"/>
    </row>
    <row r="20" spans="1:17">
      <c r="A20" s="84">
        <f t="shared" si="4"/>
        <v>2012</v>
      </c>
      <c r="B20" s="425">
        <v>35846.73164278116</v>
      </c>
      <c r="C20" s="86"/>
      <c r="D20" s="88">
        <f t="shared" si="0"/>
        <v>-6.6656968487316282E-2</v>
      </c>
      <c r="E20" s="88"/>
      <c r="F20" s="269">
        <f>INDEX('Exhibit 6.3'!$H$10:$H$41,MATCH($A20,'Exhibit 6.3'!$B$10:$B$41,0))*$B20</f>
        <v>31376.906419776067</v>
      </c>
      <c r="G20" s="88"/>
      <c r="H20" s="88">
        <f t="shared" si="1"/>
        <v>-1.4365094194722983E-2</v>
      </c>
      <c r="I20" s="81"/>
      <c r="J20" s="86">
        <f>'Exhibit 6.3'!D32</f>
        <v>32819.776636545277</v>
      </c>
      <c r="K20" s="86"/>
      <c r="L20" s="88">
        <f t="shared" si="2"/>
        <v>-6.4370509480106253E-2</v>
      </c>
      <c r="M20" s="88"/>
      <c r="N20" s="269">
        <f>INDEX('Exhibit 6.3'!$H$10:$H$41,MATCH($A20,'Exhibit 6.3'!$B$10:$B$41,0))*$J20</f>
        <v>28727.390561147924</v>
      </c>
      <c r="O20" s="88"/>
      <c r="P20" s="88">
        <f t="shared" si="3"/>
        <v>-1.1950533061131252E-2</v>
      </c>
      <c r="Q20" s="81"/>
    </row>
    <row r="21" spans="1:17">
      <c r="A21" s="84">
        <f t="shared" si="4"/>
        <v>2013</v>
      </c>
      <c r="B21" s="425">
        <v>33185.841669137197</v>
      </c>
      <c r="C21" s="86"/>
      <c r="D21" s="88">
        <f t="shared" si="0"/>
        <v>-7.4229639682640736E-2</v>
      </c>
      <c r="E21" s="88"/>
      <c r="F21" s="269">
        <f>INDEX('Exhibit 6.3'!$H$10:$H$41,MATCH($A21,'Exhibit 6.3'!$B$10:$B$41,0))*$B21</f>
        <v>31645.355693249119</v>
      </c>
      <c r="G21" s="88"/>
      <c r="H21" s="88">
        <f t="shared" si="1"/>
        <v>8.5556322819593245E-3</v>
      </c>
      <c r="I21" s="81"/>
      <c r="J21" s="86">
        <f>'Exhibit 6.3'!D33</f>
        <v>30307.974881999486</v>
      </c>
      <c r="K21" s="86"/>
      <c r="L21" s="88">
        <f t="shared" si="2"/>
        <v>-7.653317639428614E-2</v>
      </c>
      <c r="M21" s="88"/>
      <c r="N21" s="269">
        <f>INDEX('Exhibit 6.3'!$H$10:$H$41,MATCH($A21,'Exhibit 6.3'!$B$10:$B$41,0))*$J21</f>
        <v>28901.079413480784</v>
      </c>
      <c r="O21" s="88"/>
      <c r="P21" s="88">
        <f t="shared" si="3"/>
        <v>6.0461061356460455E-3</v>
      </c>
      <c r="Q21" s="81"/>
    </row>
    <row r="22" spans="1:17">
      <c r="A22" s="84">
        <f t="shared" si="4"/>
        <v>2014</v>
      </c>
      <c r="B22" s="425">
        <v>32208.937755718602</v>
      </c>
      <c r="C22" s="86"/>
      <c r="D22" s="88">
        <f t="shared" si="0"/>
        <v>-2.943737040507588E-2</v>
      </c>
      <c r="E22" s="88"/>
      <c r="F22" s="269">
        <f>INDEX('Exhibit 6.3'!$H$10:$H$41,MATCH($A22,'Exhibit 6.3'!$B$10:$B$41,0))*$B22</f>
        <v>32680.825864037099</v>
      </c>
      <c r="G22" s="88"/>
      <c r="H22" s="88">
        <f t="shared" si="1"/>
        <v>3.2721078594445174E-2</v>
      </c>
      <c r="I22" s="81"/>
      <c r="J22" s="86">
        <f>'Exhibit 6.3'!D34</f>
        <v>29471.226672976114</v>
      </c>
      <c r="K22" s="86"/>
      <c r="L22" s="88">
        <f t="shared" si="2"/>
        <v>-2.7608186039520977E-2</v>
      </c>
      <c r="M22" s="88"/>
      <c r="N22" s="269">
        <f>INDEX('Exhibit 6.3'!$H$10:$H$41,MATCH($A22,'Exhibit 6.3'!$B$10:$B$41,0))*$J22</f>
        <v>29903.005004506689</v>
      </c>
      <c r="O22" s="88"/>
      <c r="P22" s="88">
        <f t="shared" si="3"/>
        <v>3.4667410745861771E-2</v>
      </c>
      <c r="Q22" s="81"/>
    </row>
    <row r="23" spans="1:17">
      <c r="A23" s="84">
        <f t="shared" si="4"/>
        <v>2015</v>
      </c>
      <c r="B23" s="425">
        <v>31369.928946919881</v>
      </c>
      <c r="C23" s="86"/>
      <c r="D23" s="88">
        <f t="shared" si="0"/>
        <v>-2.6048943779580447E-2</v>
      </c>
      <c r="E23" s="88"/>
      <c r="F23" s="269">
        <f>INDEX('Exhibit 6.3'!$H$10:$H$41,MATCH($A23,'Exhibit 6.3'!$B$10:$B$41,0))*$B23</f>
        <v>32580.505520686358</v>
      </c>
      <c r="G23" s="88"/>
      <c r="H23" s="88">
        <f t="shared" si="1"/>
        <v>-3.0697003731823269E-3</v>
      </c>
      <c r="I23" s="81"/>
      <c r="J23" s="86">
        <f>'Exhibit 6.3'!D35</f>
        <v>28804.643718097119</v>
      </c>
      <c r="K23" s="86"/>
      <c r="L23" s="88">
        <f t="shared" si="2"/>
        <v>-2.2618093310999621E-2</v>
      </c>
      <c r="M23" s="88"/>
      <c r="N23" s="269">
        <f>INDEX('Exhibit 6.3'!$H$10:$H$41,MATCH($A23,'Exhibit 6.3'!$B$10:$B$41,0))*$J23</f>
        <v>29916.225034070801</v>
      </c>
      <c r="O23" s="88"/>
      <c r="P23" s="88">
        <f t="shared" si="3"/>
        <v>4.4209702543684948E-4</v>
      </c>
      <c r="Q23" s="81"/>
    </row>
    <row r="24" spans="1:17">
      <c r="A24" s="84">
        <f t="shared" si="4"/>
        <v>2016</v>
      </c>
      <c r="B24" s="425">
        <v>29929.990141394872</v>
      </c>
      <c r="C24" s="86"/>
      <c r="D24" s="88">
        <f t="shared" si="0"/>
        <v>-4.590188291345787E-2</v>
      </c>
      <c r="E24" s="88"/>
      <c r="F24" s="269">
        <f>INDEX('Exhibit 6.3'!$H$10:$H$41,MATCH($A24,'Exhibit 6.3'!$B$10:$B$41,0))*$B24</f>
        <v>31148.042609255681</v>
      </c>
      <c r="G24" s="88"/>
      <c r="H24" s="88">
        <f>F24/F23-1</f>
        <v>-4.3966871862106682E-2</v>
      </c>
      <c r="I24" s="81"/>
      <c r="J24" s="86">
        <f>'Exhibit 6.3'!D36</f>
        <v>27553.664262353654</v>
      </c>
      <c r="K24" s="86"/>
      <c r="L24" s="88">
        <f>J24/J23-1</f>
        <v>-4.3429784030187824E-2</v>
      </c>
      <c r="M24" s="88"/>
      <c r="N24" s="269">
        <f>INDEX('Exhibit 6.3'!$H$10:$H$41,MATCH($A24,'Exhibit 6.3'!$B$10:$B$41,0))*$J24</f>
        <v>28675.008058152307</v>
      </c>
      <c r="O24" s="88"/>
      <c r="P24" s="88">
        <f>N24/N23-1</f>
        <v>-4.1489759303017126E-2</v>
      </c>
      <c r="Q24" s="81"/>
    </row>
    <row r="25" spans="1:17">
      <c r="A25" s="84">
        <f t="shared" si="4"/>
        <v>2017</v>
      </c>
      <c r="B25" s="425">
        <v>29802.144625436249</v>
      </c>
      <c r="C25" s="86"/>
      <c r="D25" s="88">
        <f t="shared" si="0"/>
        <v>-4.2714854015873938E-3</v>
      </c>
      <c r="E25" s="88"/>
      <c r="F25" s="269">
        <f>INDEX('Exhibit 6.3'!$H$10:$H$41,MATCH($A25,'Exhibit 6.3'!$B$10:$B$41,0))*$B25</f>
        <v>31046.226704026471</v>
      </c>
      <c r="G25" s="88"/>
      <c r="H25" s="88">
        <f t="shared" ref="H25:H29" si="5">F25/F24-1</f>
        <v>-3.2687737880182643E-3</v>
      </c>
      <c r="I25" s="81"/>
      <c r="J25" s="86">
        <f>'Exhibit 6.3'!D37</f>
        <v>27433.066940639183</v>
      </c>
      <c r="K25" s="86"/>
      <c r="L25" s="88">
        <f>J25/J24-1</f>
        <v>-4.3768161129568162E-3</v>
      </c>
      <c r="M25" s="88"/>
      <c r="N25" s="269">
        <f>INDEX('Exhibit 6.3'!$H$10:$H$41,MATCH($A25,'Exhibit 6.3'!$B$10:$B$41,0))*$J25</f>
        <v>28578.252542902377</v>
      </c>
      <c r="O25" s="88"/>
      <c r="P25" s="88">
        <f t="shared" ref="P25:P26" si="6">N25/N24-1</f>
        <v>-3.37421056878906E-3</v>
      </c>
      <c r="Q25" s="81"/>
    </row>
    <row r="26" spans="1:17">
      <c r="A26" s="84">
        <f t="shared" si="4"/>
        <v>2018</v>
      </c>
      <c r="B26" s="425">
        <v>31488.504799448172</v>
      </c>
      <c r="C26" s="86"/>
      <c r="D26" s="88">
        <f t="shared" si="0"/>
        <v>5.6585195300763891E-2</v>
      </c>
      <c r="E26" s="88"/>
      <c r="F26" s="269">
        <f>INDEX('Exhibit 6.3'!$H$10:$H$41,MATCH($A26,'Exhibit 6.3'!$B$10:$B$41,0))*$B26</f>
        <v>32704.803684763938</v>
      </c>
      <c r="G26" s="88"/>
      <c r="H26" s="88">
        <f t="shared" si="5"/>
        <v>5.3422819995138537E-2</v>
      </c>
      <c r="I26" s="81"/>
      <c r="J26" s="86">
        <f>'Exhibit 6.3'!D38</f>
        <v>28971.349136434157</v>
      </c>
      <c r="K26" s="86"/>
      <c r="L26" s="88">
        <f t="shared" ref="L26:L29" si="7">J26/J25-1</f>
        <v>5.6074014586979137E-2</v>
      </c>
      <c r="M26" s="88"/>
      <c r="N26" s="269">
        <f>INDEX('Exhibit 6.3'!$H$10:$H$41,MATCH($A26,'Exhibit 6.3'!$B$10:$B$41,0))*$J26</f>
        <v>30090.418456656575</v>
      </c>
      <c r="O26" s="88"/>
      <c r="P26" s="88">
        <f t="shared" si="6"/>
        <v>5.291316925288192E-2</v>
      </c>
      <c r="Q26" s="81"/>
    </row>
    <row r="27" spans="1:17">
      <c r="A27" s="84">
        <f t="shared" si="4"/>
        <v>2019</v>
      </c>
      <c r="B27" s="425">
        <v>32070.659189535956</v>
      </c>
      <c r="C27" s="86"/>
      <c r="D27" s="88">
        <f t="shared" si="0"/>
        <v>1.8487838460274686E-2</v>
      </c>
      <c r="E27" s="88"/>
      <c r="F27" s="269">
        <f>INDEX('Exhibit 6.3'!$H$10:$H$41,MATCH($A27,'Exhibit 6.3'!$B$10:$B$41,0))*$B27</f>
        <v>32978.864672683871</v>
      </c>
      <c r="G27" s="88"/>
      <c r="H27" s="88">
        <f t="shared" si="5"/>
        <v>8.3798389545939322E-3</v>
      </c>
      <c r="I27" s="81"/>
      <c r="J27" s="86">
        <f>'Exhibit 6.3'!D39</f>
        <v>29370.652167981367</v>
      </c>
      <c r="K27" s="86"/>
      <c r="L27" s="88">
        <f t="shared" si="7"/>
        <v>1.3782686807810807E-2</v>
      </c>
      <c r="M27" s="88"/>
      <c r="N27" s="269">
        <f>INDEX('Exhibit 6.3'!$H$10:$H$41,MATCH($A27,'Exhibit 6.3'!$B$10:$B$41,0))*$J27</f>
        <v>30202.39644816424</v>
      </c>
      <c r="O27" s="88"/>
      <c r="P27" s="88">
        <f t="shared" ref="P27:P29" si="8">N27/N26-1</f>
        <v>3.7213836580225479E-3</v>
      </c>
      <c r="Q27" s="81"/>
    </row>
    <row r="28" spans="1:17">
      <c r="A28" s="84">
        <f t="shared" si="4"/>
        <v>2020</v>
      </c>
      <c r="B28" s="425">
        <v>33438.043173594146</v>
      </c>
      <c r="C28" s="86"/>
      <c r="D28" s="88">
        <f t="shared" si="0"/>
        <v>4.263660363128241E-2</v>
      </c>
      <c r="E28" s="88"/>
      <c r="F28" s="269">
        <f>INDEX('Exhibit 6.3'!$H$10:$H$41,MATCH($A28,'Exhibit 6.3'!$B$10:$B$41,0))*$B28</f>
        <v>33976.17017440436</v>
      </c>
      <c r="G28" s="88"/>
      <c r="H28" s="88">
        <f t="shared" si="5"/>
        <v>3.0240746963813736E-2</v>
      </c>
      <c r="I28" s="81"/>
      <c r="J28" s="86">
        <f>'Exhibit 6.3'!D40</f>
        <v>30517.762805324455</v>
      </c>
      <c r="K28" s="86"/>
      <c r="L28" s="88">
        <f t="shared" si="7"/>
        <v>3.9056355670359366E-2</v>
      </c>
      <c r="M28" s="88"/>
      <c r="N28" s="269">
        <f>INDEX('Exhibit 6.3'!$H$10:$H$41,MATCH($A28,'Exhibit 6.3'!$B$10:$B$41,0))*$J28</f>
        <v>31008.892985538932</v>
      </c>
      <c r="O28" s="88"/>
      <c r="P28" s="88">
        <f t="shared" si="8"/>
        <v>2.6703064399504317E-2</v>
      </c>
      <c r="Q28" s="81"/>
    </row>
    <row r="29" spans="1:17">
      <c r="A29" s="84">
        <f t="shared" si="4"/>
        <v>2021</v>
      </c>
      <c r="B29" s="425">
        <v>33017.781670048738</v>
      </c>
      <c r="C29" s="86"/>
      <c r="D29" s="88">
        <f t="shared" si="0"/>
        <v>-1.2568364164242896E-2</v>
      </c>
      <c r="E29" s="88"/>
      <c r="F29" s="269">
        <f>INDEX('Exhibit 6.3'!$H$10:$H$41,MATCH($A29,'Exhibit 6.3'!$B$10:$B$41,0))*$B29</f>
        <v>33282.651107329773</v>
      </c>
      <c r="G29" s="88"/>
      <c r="H29" s="88">
        <f t="shared" si="5"/>
        <v>-2.0411925873771497E-2</v>
      </c>
      <c r="I29" s="81"/>
      <c r="J29" s="86">
        <f>'Exhibit 6.3'!D41</f>
        <v>30081.226730386174</v>
      </c>
      <c r="K29" s="86"/>
      <c r="L29" s="88">
        <f t="shared" si="7"/>
        <v>-1.4304327539439443E-2</v>
      </c>
      <c r="M29" s="88"/>
      <c r="N29" s="269">
        <f>INDEX('Exhibit 6.3'!$H$10:$H$41,MATCH($A29,'Exhibit 6.3'!$B$10:$B$41,0))*$J29</f>
        <v>30322.539053437486</v>
      </c>
      <c r="O29" s="88"/>
      <c r="P29" s="88">
        <f t="shared" si="8"/>
        <v>-2.2134099802322171E-2</v>
      </c>
      <c r="Q29" s="81"/>
    </row>
    <row r="30" spans="1:17">
      <c r="A30" s="123"/>
      <c r="B30" s="81"/>
      <c r="C30" s="81"/>
      <c r="D30" s="81"/>
      <c r="E30" s="81"/>
      <c r="F30" s="86"/>
      <c r="G30" s="81"/>
      <c r="H30" s="81"/>
      <c r="I30" s="81"/>
      <c r="J30" s="81"/>
      <c r="K30" s="81"/>
      <c r="L30" s="81"/>
      <c r="M30" s="81"/>
      <c r="N30" s="81"/>
      <c r="O30" s="81"/>
      <c r="P30" s="81"/>
      <c r="Q30" s="81"/>
    </row>
    <row r="31" spans="1:17">
      <c r="A31" s="81" t="s">
        <v>243</v>
      </c>
      <c r="B31" s="81"/>
      <c r="C31" s="81"/>
      <c r="D31" s="81"/>
      <c r="E31" s="81"/>
      <c r="F31" s="81"/>
      <c r="G31" s="81"/>
      <c r="H31" s="81"/>
      <c r="I31" s="81"/>
      <c r="J31" s="81"/>
      <c r="K31" s="81"/>
      <c r="L31" s="81"/>
      <c r="M31" s="81"/>
      <c r="N31" s="81"/>
      <c r="O31" s="81"/>
      <c r="P31" s="81"/>
      <c r="Q31" s="81"/>
    </row>
    <row r="32" spans="1:17">
      <c r="A32" s="91" t="str">
        <f>"Trend Based on 1990 to "&amp;$A$29&amp;":"</f>
        <v>Trend Based on 1990 to 2021:</v>
      </c>
      <c r="B32" s="81"/>
      <c r="C32" s="81"/>
      <c r="D32" s="81"/>
      <c r="E32" s="81"/>
      <c r="F32" s="81"/>
      <c r="G32" s="81"/>
      <c r="H32" s="322">
        <v>4.9103967876134469E-2</v>
      </c>
      <c r="I32" s="81"/>
      <c r="J32" s="81"/>
      <c r="K32" s="81"/>
      <c r="L32" s="81"/>
      <c r="M32" s="81"/>
      <c r="N32" s="81"/>
      <c r="O32" s="81"/>
      <c r="P32" s="288" t="s">
        <v>339</v>
      </c>
      <c r="Q32" s="81"/>
    </row>
    <row r="33" spans="1:17">
      <c r="A33" s="91" t="str">
        <f>"Trend Based on "&amp;$A$13&amp;" to "&amp;$A$29&amp;":"</f>
        <v>Trend Based on 2005 to 2021:</v>
      </c>
      <c r="B33" s="91"/>
      <c r="C33" s="91"/>
      <c r="D33" s="92"/>
      <c r="E33" s="92"/>
      <c r="G33" s="92"/>
      <c r="H33" s="92">
        <f>LOGEST(F$13:F$29)-1</f>
        <v>1.4809471141174368E-2</v>
      </c>
      <c r="I33" s="91"/>
      <c r="J33" s="91"/>
      <c r="K33" s="91"/>
      <c r="L33" s="92"/>
      <c r="M33" s="92"/>
      <c r="O33" s="88"/>
      <c r="P33" s="92">
        <f>LOGEST(N$13:N$29)-1</f>
        <v>1.3420034256831581E-2</v>
      </c>
      <c r="Q33" s="81"/>
    </row>
    <row r="34" spans="1:17">
      <c r="A34" s="91" t="str">
        <f>"Trend Based on "&amp;$A$25&amp;" to "&amp;$A$29&amp;":"</f>
        <v>Trend Based on 2017 to 2021:</v>
      </c>
      <c r="B34" s="91"/>
      <c r="C34" s="91"/>
      <c r="D34" s="92"/>
      <c r="E34" s="92"/>
      <c r="G34" s="92"/>
      <c r="H34" s="92">
        <f>LOGEST(F$25:F$29)-1</f>
        <v>1.7883572191237374E-2</v>
      </c>
      <c r="I34" s="91"/>
      <c r="J34" s="91"/>
      <c r="K34" s="91"/>
      <c r="L34" s="92"/>
      <c r="M34" s="92"/>
      <c r="O34" s="88"/>
      <c r="P34" s="92">
        <f>LOGEST(N$25:N$29)-1</f>
        <v>1.4966673412691422E-2</v>
      </c>
      <c r="Q34" s="81"/>
    </row>
    <row r="35" spans="1:17">
      <c r="A35" s="81"/>
      <c r="B35" s="81"/>
      <c r="C35" s="81"/>
      <c r="D35" s="81"/>
      <c r="E35" s="81"/>
      <c r="F35" s="81"/>
      <c r="G35" s="81"/>
      <c r="H35" s="81"/>
      <c r="I35" s="81"/>
      <c r="J35" s="81"/>
      <c r="K35" s="81"/>
      <c r="L35" s="81"/>
      <c r="M35" s="81"/>
      <c r="N35" s="81"/>
      <c r="O35" s="81"/>
      <c r="P35" s="81"/>
      <c r="Q35" s="81"/>
    </row>
    <row r="36" spans="1:17">
      <c r="A36" s="81"/>
      <c r="B36" s="81"/>
      <c r="C36" s="81"/>
      <c r="D36" s="81"/>
      <c r="E36" s="81"/>
      <c r="F36" s="81"/>
      <c r="G36" s="81"/>
      <c r="H36" s="81"/>
      <c r="I36" s="81" t="s">
        <v>214</v>
      </c>
      <c r="J36" s="81"/>
      <c r="K36" s="81"/>
      <c r="L36" s="81"/>
      <c r="M36" s="81"/>
      <c r="O36" s="81"/>
      <c r="P36" s="254">
        <v>1.4999999999999999E-2</v>
      </c>
      <c r="Q36" s="81"/>
    </row>
    <row r="37" spans="1:17" ht="12.75" customHeight="1">
      <c r="A37" s="81"/>
      <c r="B37" s="81"/>
      <c r="C37" s="81"/>
      <c r="D37" s="81"/>
      <c r="E37" s="81"/>
      <c r="F37" s="81"/>
      <c r="G37" s="81"/>
      <c r="H37" s="81"/>
      <c r="I37" s="81"/>
      <c r="J37" s="81"/>
      <c r="K37" s="81"/>
      <c r="L37" s="81"/>
      <c r="M37" s="81"/>
      <c r="N37" s="81"/>
      <c r="O37" s="81"/>
      <c r="P37" s="81"/>
      <c r="Q37" s="81"/>
    </row>
    <row r="38" spans="1:17" ht="12.75" customHeight="1">
      <c r="A38" s="292" t="s">
        <v>564</v>
      </c>
      <c r="B38" s="290"/>
      <c r="C38" s="290"/>
      <c r="D38" s="290"/>
      <c r="E38" s="290"/>
      <c r="F38" s="290"/>
      <c r="G38" s="290"/>
      <c r="H38" s="290"/>
      <c r="I38" s="290"/>
      <c r="J38" s="290"/>
      <c r="K38" s="290"/>
      <c r="L38" s="290"/>
      <c r="M38" s="290"/>
      <c r="N38" s="290"/>
      <c r="O38" s="290"/>
      <c r="P38" s="290"/>
      <c r="Q38" s="290"/>
    </row>
    <row r="39" spans="1:17" ht="12.75" customHeight="1">
      <c r="A39" s="292" t="s">
        <v>565</v>
      </c>
      <c r="B39" s="290"/>
      <c r="C39" s="290"/>
      <c r="D39" s="290"/>
      <c r="E39" s="290"/>
      <c r="F39" s="290"/>
      <c r="G39" s="290"/>
      <c r="H39" s="290"/>
      <c r="I39" s="290"/>
      <c r="J39" s="290"/>
      <c r="K39" s="290"/>
      <c r="L39" s="290"/>
      <c r="M39" s="290"/>
      <c r="N39" s="290"/>
      <c r="O39" s="290"/>
      <c r="P39" s="290"/>
      <c r="Q39" s="290"/>
    </row>
    <row r="40" spans="1:17" ht="12.75" customHeight="1">
      <c r="A40" s="292" t="s">
        <v>346</v>
      </c>
      <c r="B40" s="290"/>
      <c r="C40" s="290"/>
      <c r="D40" s="290"/>
      <c r="E40" s="290"/>
      <c r="F40" s="290"/>
      <c r="G40" s="290"/>
      <c r="H40" s="290"/>
      <c r="I40" s="290"/>
      <c r="J40" s="290"/>
      <c r="K40" s="290"/>
      <c r="L40" s="290"/>
      <c r="M40" s="290"/>
      <c r="N40" s="290"/>
      <c r="O40" s="290"/>
      <c r="P40" s="290"/>
      <c r="Q40" s="290"/>
    </row>
    <row r="41" spans="1:17" ht="12.75" customHeight="1">
      <c r="A41" s="291" t="s">
        <v>566</v>
      </c>
      <c r="B41" s="291"/>
      <c r="C41" s="291"/>
      <c r="D41" s="291"/>
      <c r="E41" s="291"/>
      <c r="F41" s="291"/>
      <c r="G41" s="291"/>
      <c r="H41" s="291"/>
      <c r="I41" s="291"/>
      <c r="J41" s="291"/>
      <c r="K41" s="291"/>
      <c r="L41" s="291"/>
      <c r="M41" s="291"/>
      <c r="N41" s="291"/>
      <c r="O41" s="291"/>
      <c r="P41" s="291"/>
      <c r="Q41" s="291"/>
    </row>
    <row r="42" spans="1:17">
      <c r="A42" s="81"/>
      <c r="B42" s="81"/>
      <c r="C42" s="81"/>
      <c r="D42" s="81"/>
      <c r="E42" s="81"/>
      <c r="F42" s="81"/>
      <c r="G42" s="81"/>
      <c r="H42" s="81"/>
      <c r="I42" s="81"/>
      <c r="J42" s="81"/>
      <c r="K42" s="81"/>
      <c r="L42" s="81"/>
      <c r="M42" s="81"/>
      <c r="N42" s="81"/>
      <c r="O42" s="81"/>
      <c r="P42" s="81"/>
      <c r="Q42" s="81"/>
    </row>
    <row r="43" spans="1:17">
      <c r="A43" s="495" t="s">
        <v>489</v>
      </c>
      <c r="B43" s="496"/>
      <c r="C43" s="496"/>
      <c r="D43" s="496"/>
      <c r="E43" s="496"/>
      <c r="F43" s="496"/>
      <c r="G43" s="496"/>
      <c r="H43" s="496"/>
      <c r="I43" s="496"/>
      <c r="J43" s="496"/>
      <c r="K43" s="496"/>
      <c r="L43" s="496"/>
      <c r="M43" s="496"/>
      <c r="N43" s="496"/>
      <c r="O43" s="496"/>
      <c r="P43" s="496"/>
      <c r="Q43" s="496"/>
    </row>
  </sheetData>
  <mergeCells count="4">
    <mergeCell ref="B7:H7"/>
    <mergeCell ref="J5:P5"/>
    <mergeCell ref="J6:P6"/>
    <mergeCell ref="J7:P7"/>
  </mergeCells>
  <printOptions horizontalCentered="1"/>
  <pageMargins left="0.5" right="0.5" top="0.75" bottom="0.75" header="0.33" footer="0.33"/>
  <pageSetup scale="74" orientation="portrait" blackAndWhite="1" horizontalDpi="1200" verticalDpi="1200" r:id="rId1"/>
  <headerFooter scaleWithDoc="0"/>
  <ignoredErrors>
    <ignoredError sqref="A8:P8"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N54"/>
  <sheetViews>
    <sheetView zoomScaleNormal="100" zoomScaleSheetLayoutView="115" workbookViewId="0"/>
  </sheetViews>
  <sheetFormatPr defaultColWidth="9.140625" defaultRowHeight="12.75"/>
  <cols>
    <col min="1" max="1" width="9.140625" style="108"/>
    <col min="2" max="2" width="5.85546875" style="108" customWidth="1"/>
    <col min="3" max="3" width="17.7109375" style="108" customWidth="1"/>
    <col min="4" max="4" width="5.85546875" style="108" customWidth="1"/>
    <col min="5" max="5" width="17.7109375" style="108" customWidth="1"/>
    <col min="6" max="6" width="5.85546875" style="108" customWidth="1"/>
    <col min="7" max="7" width="17.7109375" style="108" customWidth="1"/>
    <col min="8" max="8" width="5.85546875" style="108" customWidth="1"/>
    <col min="9" max="9" width="17.7109375" style="108" customWidth="1"/>
    <col min="10" max="10" width="1.5703125" style="108" customWidth="1"/>
    <col min="11" max="11" width="9.140625" style="108"/>
    <col min="12" max="12" width="21.5703125" style="108" customWidth="1"/>
    <col min="13" max="14" width="21.140625" style="108" customWidth="1"/>
    <col min="15" max="16384" width="9.140625" style="108"/>
  </cols>
  <sheetData>
    <row r="1" spans="1:10">
      <c r="A1" s="275" t="s">
        <v>215</v>
      </c>
      <c r="B1" s="241"/>
      <c r="C1" s="241"/>
      <c r="D1" s="241"/>
      <c r="E1" s="241"/>
      <c r="F1" s="241"/>
      <c r="G1" s="241"/>
      <c r="H1" s="241"/>
      <c r="I1" s="241"/>
      <c r="J1" s="124"/>
    </row>
    <row r="2" spans="1:10">
      <c r="A2" s="245" t="s">
        <v>216</v>
      </c>
      <c r="B2" s="241"/>
      <c r="C2" s="241"/>
      <c r="D2" s="241"/>
      <c r="E2" s="241"/>
      <c r="F2" s="241"/>
      <c r="G2" s="241"/>
      <c r="H2" s="241"/>
      <c r="I2" s="241"/>
      <c r="J2" s="121"/>
    </row>
    <row r="3" spans="1:10">
      <c r="A3" s="245" t="str">
        <f>'Exhibit 3.1'!$A$3</f>
        <v>Based on Experience as of December 31, 2021</v>
      </c>
      <c r="B3" s="241"/>
      <c r="C3" s="241"/>
      <c r="D3" s="241"/>
      <c r="E3" s="241"/>
      <c r="F3" s="241"/>
      <c r="G3" s="241"/>
      <c r="H3" s="241"/>
      <c r="I3" s="241"/>
      <c r="J3" s="121"/>
    </row>
    <row r="4" spans="1:10">
      <c r="A4" s="122"/>
      <c r="B4" s="122"/>
      <c r="C4" s="122"/>
      <c r="D4" s="122"/>
      <c r="E4" s="122"/>
      <c r="F4" s="122"/>
      <c r="G4" s="122"/>
      <c r="H4" s="122"/>
      <c r="I4" s="122"/>
      <c r="J4" s="122"/>
    </row>
    <row r="5" spans="1:10">
      <c r="A5" s="122"/>
      <c r="B5" s="122"/>
      <c r="C5" s="27" t="s">
        <v>45</v>
      </c>
      <c r="D5" s="27"/>
      <c r="E5" s="27" t="s">
        <v>46</v>
      </c>
      <c r="F5" s="27"/>
      <c r="G5" s="27" t="s">
        <v>47</v>
      </c>
      <c r="H5" s="27"/>
      <c r="I5" s="122" t="s">
        <v>48</v>
      </c>
      <c r="J5" s="27"/>
    </row>
    <row r="6" spans="1:10">
      <c r="A6" s="122"/>
      <c r="B6" s="122"/>
      <c r="C6" s="69"/>
      <c r="D6" s="122"/>
      <c r="E6" s="122"/>
      <c r="F6" s="122"/>
      <c r="G6" s="122"/>
      <c r="H6" s="122"/>
      <c r="I6" s="122" t="s">
        <v>217</v>
      </c>
      <c r="J6" s="122"/>
    </row>
    <row r="7" spans="1:10">
      <c r="A7" s="61" t="s">
        <v>54</v>
      </c>
      <c r="B7" s="62"/>
      <c r="C7" s="122" t="s">
        <v>218</v>
      </c>
      <c r="D7" s="62"/>
      <c r="E7" s="61" t="s">
        <v>219</v>
      </c>
      <c r="F7" s="62"/>
      <c r="G7" s="61" t="s">
        <v>220</v>
      </c>
      <c r="H7" s="62"/>
      <c r="I7" s="122" t="s">
        <v>221</v>
      </c>
      <c r="J7" s="62"/>
    </row>
    <row r="8" spans="1:10">
      <c r="A8" s="26" t="s">
        <v>8</v>
      </c>
      <c r="B8" s="26"/>
      <c r="C8" s="26" t="s">
        <v>340</v>
      </c>
      <c r="D8" s="26"/>
      <c r="E8" s="26" t="s">
        <v>341</v>
      </c>
      <c r="F8" s="26"/>
      <c r="G8" s="26" t="s">
        <v>342</v>
      </c>
      <c r="H8" s="26"/>
      <c r="I8" s="26" t="s">
        <v>222</v>
      </c>
      <c r="J8" s="122"/>
    </row>
    <row r="9" spans="1:10">
      <c r="A9" s="122"/>
      <c r="B9" s="122"/>
      <c r="C9" s="69"/>
      <c r="D9" s="69"/>
      <c r="E9" s="69"/>
      <c r="F9" s="69"/>
      <c r="G9" s="69"/>
      <c r="H9" s="122"/>
      <c r="I9" s="122" t="s">
        <v>223</v>
      </c>
      <c r="J9" s="122"/>
    </row>
    <row r="10" spans="1:10">
      <c r="A10" s="177">
        <v>1987</v>
      </c>
      <c r="B10" s="30"/>
      <c r="C10" s="33">
        <f>+SUMIFS('Exhibit 3.1'!F:F,'Exhibit 3.1'!B:B,$A10)</f>
        <v>0.34710997919239156</v>
      </c>
      <c r="D10" s="30"/>
      <c r="E10" s="33">
        <f>+SUMIFS('Exhibit 4.1'!L:L,'Exhibit 4.1'!B:B,$A10)</f>
        <v>1.7023075326521706</v>
      </c>
      <c r="F10" s="30"/>
      <c r="G10" s="33">
        <f>SUMIFS('Exhibit 5.2'!S:S,'Exhibit 5.2'!A:A,A10)</f>
        <v>1.9841804221775756</v>
      </c>
      <c r="H10" s="30"/>
      <c r="I10" s="33">
        <f t="shared" ref="I10:I38" si="0">C10*E10/G10</f>
        <v>0.29779949728032568</v>
      </c>
      <c r="J10" s="30"/>
    </row>
    <row r="11" spans="1:10">
      <c r="A11" s="252">
        <f t="shared" ref="A11:A44" si="1">A10+1</f>
        <v>1988</v>
      </c>
      <c r="B11" s="30"/>
      <c r="C11" s="33">
        <f>+SUMIFS('Exhibit 3.1'!F:F,'Exhibit 3.1'!B:B,$A11)</f>
        <v>0.33201479044972365</v>
      </c>
      <c r="D11" s="30"/>
      <c r="E11" s="33">
        <f>+SUMIFS('Exhibit 4.1'!L:L,'Exhibit 4.1'!B:B,$A11)</f>
        <v>1.6771502784750452</v>
      </c>
      <c r="F11" s="30"/>
      <c r="G11" s="33">
        <f>SUMIFS('Exhibit 5.2'!S:S,'Exhibit 5.2'!A:A,A11)</f>
        <v>1.7387339362539649</v>
      </c>
      <c r="H11" s="30"/>
      <c r="I11" s="33">
        <f t="shared" si="0"/>
        <v>0.32025526542621879</v>
      </c>
      <c r="J11" s="30"/>
    </row>
    <row r="12" spans="1:10">
      <c r="A12" s="252">
        <f t="shared" si="1"/>
        <v>1989</v>
      </c>
      <c r="B12" s="30"/>
      <c r="C12" s="33">
        <f>+SUMIFS('Exhibit 3.1'!F:F,'Exhibit 3.1'!B:B,$A12)</f>
        <v>0.34492874554804998</v>
      </c>
      <c r="D12" s="30"/>
      <c r="E12" s="33">
        <f>+SUMIFS('Exhibit 4.1'!L:L,'Exhibit 4.1'!B:B,$A12)</f>
        <v>1.652364806379355</v>
      </c>
      <c r="F12" s="30"/>
      <c r="G12" s="33">
        <f>SUMIFS('Exhibit 5.2'!S:S,'Exhibit 5.2'!A:A,A12)</f>
        <v>1.6724299739273834</v>
      </c>
      <c r="H12" s="30"/>
      <c r="I12" s="33">
        <f t="shared" si="0"/>
        <v>0.34079042395644393</v>
      </c>
      <c r="J12" s="30"/>
    </row>
    <row r="13" spans="1:10">
      <c r="A13" s="252">
        <f t="shared" si="1"/>
        <v>1990</v>
      </c>
      <c r="B13" s="30"/>
      <c r="C13" s="33">
        <f>+SUMIFS('Exhibit 3.1'!F:F,'Exhibit 3.1'!B:B,$A13)</f>
        <v>0.40018596326515288</v>
      </c>
      <c r="D13" s="30"/>
      <c r="E13" s="33">
        <f>+SUMIFS('Exhibit 4.1'!L:L,'Exhibit 4.1'!B:B,$A13)</f>
        <v>1.3246165187606751</v>
      </c>
      <c r="F13" s="30"/>
      <c r="G13" s="33">
        <f>SUMIFS('Exhibit 5.2'!S:S,'Exhibit 5.2'!A:A,A13)</f>
        <v>1.5547046959927624</v>
      </c>
      <c r="H13" s="30"/>
      <c r="I13" s="33">
        <f t="shared" si="0"/>
        <v>0.34096053024312856</v>
      </c>
      <c r="J13" s="30"/>
    </row>
    <row r="14" spans="1:10">
      <c r="A14" s="252">
        <f t="shared" si="1"/>
        <v>1991</v>
      </c>
      <c r="B14" s="30"/>
      <c r="C14" s="33">
        <f>+SUMIFS('Exhibit 3.1'!F:F,'Exhibit 3.1'!B:B,$A14)</f>
        <v>0.42736888447581395</v>
      </c>
      <c r="D14" s="30"/>
      <c r="E14" s="33">
        <f>+SUMIFS('Exhibit 4.1'!L:L,'Exhibit 4.1'!B:B,$A14)</f>
        <v>1.0912198520298919</v>
      </c>
      <c r="F14" s="30"/>
      <c r="G14" s="33">
        <f>SUMIFS('Exhibit 5.2'!S:S,'Exhibit 5.2'!A:A,A14)</f>
        <v>1.4072048595051614</v>
      </c>
      <c r="H14" s="30"/>
      <c r="I14" s="33">
        <f t="shared" si="0"/>
        <v>0.33140406510809606</v>
      </c>
      <c r="J14" s="30"/>
    </row>
    <row r="15" spans="1:10">
      <c r="A15" s="252">
        <f t="shared" si="1"/>
        <v>1992</v>
      </c>
      <c r="B15" s="30"/>
      <c r="C15" s="33">
        <f>+SUMIFS('Exhibit 3.1'!F:F,'Exhibit 3.1'!B:B,$A15)</f>
        <v>0.35206157348862421</v>
      </c>
      <c r="D15" s="30"/>
      <c r="E15" s="33">
        <f>+SUMIFS('Exhibit 4.1'!L:L,'Exhibit 4.1'!B:B,$A15)</f>
        <v>1.1505392439159425</v>
      </c>
      <c r="F15" s="30"/>
      <c r="G15" s="33">
        <f>SUMIFS('Exhibit 5.2'!S:S,'Exhibit 5.2'!A:A,A15)</f>
        <v>1.2795739947472322</v>
      </c>
      <c r="H15" s="30"/>
      <c r="I15" s="33">
        <f t="shared" si="0"/>
        <v>0.31655899403728871</v>
      </c>
      <c r="J15" s="30"/>
    </row>
    <row r="16" spans="1:10">
      <c r="A16" s="252">
        <f t="shared" si="1"/>
        <v>1993</v>
      </c>
      <c r="B16" s="30"/>
      <c r="C16" s="33">
        <f>+SUMIFS('Exhibit 3.1'!F:F,'Exhibit 3.1'!B:B,$A16)</f>
        <v>0.28905668535677731</v>
      </c>
      <c r="D16" s="30"/>
      <c r="E16" s="33">
        <f>+SUMIFS('Exhibit 4.1'!L:L,'Exhibit 4.1'!B:B,$A16)</f>
        <v>1.3964201294931924</v>
      </c>
      <c r="F16" s="30"/>
      <c r="G16" s="33">
        <f>SUMIFS('Exhibit 5.2'!S:S,'Exhibit 5.2'!A:A,A16)</f>
        <v>1.2377248508191354</v>
      </c>
      <c r="H16" s="30"/>
      <c r="I16" s="33">
        <f t="shared" si="0"/>
        <v>0.32611817863206755</v>
      </c>
      <c r="J16" s="30"/>
    </row>
    <row r="17" spans="1:10">
      <c r="A17" s="252">
        <f t="shared" si="1"/>
        <v>1994</v>
      </c>
      <c r="B17" s="30"/>
      <c r="C17" s="33">
        <f>+SUMIFS('Exhibit 3.1'!F:F,'Exhibit 3.1'!B:B,$A17)</f>
        <v>0.32842302454671835</v>
      </c>
      <c r="D17" s="30"/>
      <c r="E17" s="33">
        <f>+SUMIFS('Exhibit 4.1'!L:L,'Exhibit 4.1'!B:B,$A17)</f>
        <v>1.4597691655814966</v>
      </c>
      <c r="F17" s="30"/>
      <c r="G17" s="33">
        <f>SUMIFS('Exhibit 5.2'!S:S,'Exhibit 5.2'!A:A,A17)</f>
        <v>1.3996012849777215</v>
      </c>
      <c r="H17" s="30"/>
      <c r="I17" s="33">
        <f t="shared" si="0"/>
        <v>0.34254170073010881</v>
      </c>
      <c r="J17" s="30"/>
    </row>
    <row r="18" spans="1:10">
      <c r="A18" s="252">
        <f t="shared" si="1"/>
        <v>1995</v>
      </c>
      <c r="B18" s="30"/>
      <c r="C18" s="33">
        <f>+SUMIFS('Exhibit 3.1'!F:F,'Exhibit 3.1'!B:B,$A18)</f>
        <v>0.47327345246331348</v>
      </c>
      <c r="D18" s="30"/>
      <c r="E18" s="33">
        <f>+SUMIFS('Exhibit 4.1'!L:L,'Exhibit 4.1'!B:B,$A18)</f>
        <v>1.3515482883753307</v>
      </c>
      <c r="F18" s="30"/>
      <c r="G18" s="33">
        <f>SUMIFS('Exhibit 5.2'!S:S,'Exhibit 5.2'!A:A,A18)</f>
        <v>1.8381086666392128</v>
      </c>
      <c r="H18" s="30"/>
      <c r="I18" s="33">
        <f t="shared" si="0"/>
        <v>0.34799461871849535</v>
      </c>
      <c r="J18" s="30"/>
    </row>
    <row r="19" spans="1:10">
      <c r="A19" s="252">
        <f t="shared" si="1"/>
        <v>1996</v>
      </c>
      <c r="B19" s="30"/>
      <c r="C19" s="33">
        <f>+SUMIFS('Exhibit 3.1'!F:F,'Exhibit 3.1'!B:B,$A19)</f>
        <v>0.53161087642779581</v>
      </c>
      <c r="D19" s="30"/>
      <c r="E19" s="33">
        <f>+SUMIFS('Exhibit 4.1'!L:L,'Exhibit 4.1'!B:B,$A19)</f>
        <v>1.2632490210916025</v>
      </c>
      <c r="F19" s="30"/>
      <c r="G19" s="33">
        <f>SUMIFS('Exhibit 5.2'!S:S,'Exhibit 5.2'!A:A,A19)</f>
        <v>1.9010832559654547</v>
      </c>
      <c r="H19" s="30"/>
      <c r="I19" s="33">
        <f t="shared" si="0"/>
        <v>0.35324961026392049</v>
      </c>
      <c r="J19" s="30"/>
    </row>
    <row r="20" spans="1:10">
      <c r="A20" s="252">
        <f t="shared" si="1"/>
        <v>1997</v>
      </c>
      <c r="B20" s="30"/>
      <c r="C20" s="33">
        <f>+SUMIFS('Exhibit 3.1'!F:F,'Exhibit 3.1'!B:B,$A20)</f>
        <v>0.60237899458105848</v>
      </c>
      <c r="D20" s="30"/>
      <c r="E20" s="33">
        <f>+SUMIFS('Exhibit 4.1'!L:L,'Exhibit 4.1'!B:B,$A20)</f>
        <v>1.1311518582889657</v>
      </c>
      <c r="F20" s="30"/>
      <c r="G20" s="33">
        <f>SUMIFS('Exhibit 5.2'!S:S,'Exhibit 5.2'!A:A,A20)</f>
        <v>1.8461167770361626</v>
      </c>
      <c r="H20" s="30"/>
      <c r="I20" s="33">
        <f t="shared" si="0"/>
        <v>0.36908939217188852</v>
      </c>
      <c r="J20" s="30"/>
    </row>
    <row r="21" spans="1:10">
      <c r="A21" s="252">
        <f t="shared" si="1"/>
        <v>1998</v>
      </c>
      <c r="B21" s="30"/>
      <c r="C21" s="33">
        <f>+SUMIFS('Exhibit 3.1'!F:F,'Exhibit 3.1'!B:B,$A21)</f>
        <v>0.65427410853870549</v>
      </c>
      <c r="D21" s="30"/>
      <c r="E21" s="33">
        <f>+SUMIFS('Exhibit 4.1'!L:L,'Exhibit 4.1'!B:B,$A21)</f>
        <v>1.0433344016980417</v>
      </c>
      <c r="F21" s="30"/>
      <c r="G21" s="33">
        <f>SUMIFS('Exhibit 5.2'!S:S,'Exhibit 5.2'!A:A,A21)</f>
        <v>1.853845146701222</v>
      </c>
      <c r="H21" s="30"/>
      <c r="I21" s="33">
        <f t="shared" si="0"/>
        <v>0.36822206363537574</v>
      </c>
      <c r="J21" s="30"/>
    </row>
    <row r="22" spans="1:10">
      <c r="A22" s="252">
        <f t="shared" si="1"/>
        <v>1999</v>
      </c>
      <c r="B22" s="30"/>
      <c r="C22" s="33">
        <f>+SUMIFS('Exhibit 3.1'!F:F,'Exhibit 3.1'!B:B,$A22)</f>
        <v>0.68745290884042032</v>
      </c>
      <c r="D22" s="30"/>
      <c r="E22" s="33">
        <f>+SUMIFS('Exhibit 4.1'!L:L,'Exhibit 4.1'!B:B,$A22)</f>
        <v>0.96676918273312662</v>
      </c>
      <c r="F22" s="30"/>
      <c r="G22" s="33">
        <f>SUMIFS('Exhibit 5.2'!S:S,'Exhibit 5.2'!A:A,A22)</f>
        <v>1.7608171053654791</v>
      </c>
      <c r="H22" s="30"/>
      <c r="I22" s="33">
        <f t="shared" si="0"/>
        <v>0.37744311139527248</v>
      </c>
      <c r="J22" s="30"/>
    </row>
    <row r="23" spans="1:10">
      <c r="A23" s="252">
        <f t="shared" si="1"/>
        <v>2000</v>
      </c>
      <c r="B23" s="30"/>
      <c r="C23" s="33">
        <f>+SUMIFS('Exhibit 3.1'!F:F,'Exhibit 3.1'!B:B,$A23)</f>
        <v>0.59463771157127332</v>
      </c>
      <c r="D23" s="30"/>
      <c r="E23" s="33">
        <f>+SUMIFS('Exhibit 4.1'!L:L,'Exhibit 4.1'!B:B,$A23)</f>
        <v>0.9025028568030391</v>
      </c>
      <c r="F23" s="30"/>
      <c r="G23" s="33">
        <f>SUMIFS('Exhibit 5.2'!S:S,'Exhibit 5.2'!A:A,A23)</f>
        <v>1.3933632189616341</v>
      </c>
      <c r="H23" s="30"/>
      <c r="I23" s="33">
        <f t="shared" si="0"/>
        <v>0.38515602116713588</v>
      </c>
      <c r="J23" s="30"/>
    </row>
    <row r="24" spans="1:10">
      <c r="A24" s="252">
        <f t="shared" si="1"/>
        <v>2001</v>
      </c>
      <c r="B24" s="30"/>
      <c r="C24" s="33">
        <f ca="1">+SUMIFS('Exhibit 3.1'!F:F,'Exhibit 3.1'!B:B,$A24)</f>
        <v>0.4934835623527018</v>
      </c>
      <c r="D24" s="30"/>
      <c r="E24" s="33">
        <f>+SUMIFS('Exhibit 4.1'!L:L,'Exhibit 4.1'!B:B,$A24)</f>
        <v>0.90341168896213497</v>
      </c>
      <c r="F24" s="30"/>
      <c r="G24" s="33">
        <f>SUMIFS('Exhibit 5.2'!S:S,'Exhibit 5.2'!A:A,A24)</f>
        <v>1.1913823014911169</v>
      </c>
      <c r="H24" s="30"/>
      <c r="I24" s="33">
        <f t="shared" ca="1" si="0"/>
        <v>0.37420298923538226</v>
      </c>
      <c r="J24" s="30"/>
    </row>
    <row r="25" spans="1:10">
      <c r="A25" s="252">
        <f t="shared" si="1"/>
        <v>2002</v>
      </c>
      <c r="B25" s="30"/>
      <c r="C25" s="33">
        <f ca="1">+SUMIFS('Exhibit 3.1'!F:F,'Exhibit 3.1'!B:B,$A25)</f>
        <v>0.36731414369341625</v>
      </c>
      <c r="D25" s="30"/>
      <c r="E25" s="33">
        <f>+SUMIFS('Exhibit 4.1'!L:L,'Exhibit 4.1'!B:B,$A25)</f>
        <v>0.9253462716357328</v>
      </c>
      <c r="F25" s="30"/>
      <c r="G25" s="33">
        <f>SUMIFS('Exhibit 5.2'!S:S,'Exhibit 5.2'!A:A,A25)</f>
        <v>0.9180797219559711</v>
      </c>
      <c r="H25" s="30"/>
      <c r="I25" s="33">
        <f t="shared" ca="1" si="0"/>
        <v>0.37022141460834379</v>
      </c>
      <c r="J25" s="30"/>
    </row>
    <row r="26" spans="1:10">
      <c r="A26" s="252">
        <f t="shared" si="1"/>
        <v>2003</v>
      </c>
      <c r="B26" s="30"/>
      <c r="C26" s="33">
        <f ca="1">+SUMIFS('Exhibit 3.1'!F:F,'Exhibit 3.1'!B:B,$A26)</f>
        <v>0.24343361990793994</v>
      </c>
      <c r="D26" s="30"/>
      <c r="E26" s="33">
        <f>+SUMIFS('Exhibit 4.1'!L:L,'Exhibit 4.1'!B:B,$A26)</f>
        <v>0.92248306208972286</v>
      </c>
      <c r="F26" s="30"/>
      <c r="G26" s="33">
        <f>SUMIFS('Exhibit 5.2'!S:S,'Exhibit 5.2'!A:A,A26)</f>
        <v>0.65367329216663039</v>
      </c>
      <c r="H26" s="30"/>
      <c r="I26" s="33">
        <f t="shared" ca="1" si="0"/>
        <v>0.34354071643945616</v>
      </c>
      <c r="J26" s="30"/>
    </row>
    <row r="27" spans="1:10">
      <c r="A27" s="252">
        <f t="shared" si="1"/>
        <v>2004</v>
      </c>
      <c r="B27" s="30"/>
      <c r="C27" s="33">
        <f ca="1">+SUMIFS('Exhibit 3.1'!F:F,'Exhibit 3.1'!B:B,$A27)</f>
        <v>0.14542263624682461</v>
      </c>
      <c r="D27" s="30"/>
      <c r="E27" s="33">
        <f>+SUMIFS('Exhibit 4.1'!L:L,'Exhibit 4.1'!B:B,$A27)</f>
        <v>1.2627768886062771</v>
      </c>
      <c r="F27" s="30"/>
      <c r="G27" s="33">
        <f>SUMIFS('Exhibit 5.2'!S:S,'Exhibit 5.2'!A:A,A27)</f>
        <v>0.58784480569662145</v>
      </c>
      <c r="H27" s="30"/>
      <c r="I27" s="33">
        <f t="shared" ca="1" si="0"/>
        <v>0.3123891584192372</v>
      </c>
      <c r="J27" s="30"/>
    </row>
    <row r="28" spans="1:10">
      <c r="A28" s="252">
        <f t="shared" si="1"/>
        <v>2005</v>
      </c>
      <c r="B28" s="30"/>
      <c r="C28" s="33">
        <f ca="1">+SUMIFS('Exhibit 3.1'!F:F,'Exhibit 3.1'!B:B,$A28)</f>
        <v>0.12481952168114203</v>
      </c>
      <c r="D28" s="30"/>
      <c r="E28" s="33">
        <f>+SUMIFS('Exhibit 4.1'!L:L,'Exhibit 4.1'!B:B,$A28)</f>
        <v>1.7114629664357011</v>
      </c>
      <c r="F28" s="30"/>
      <c r="G28" s="33">
        <f>SUMIFS('Exhibit 5.2'!S:S,'Exhibit 5.2'!A:A,A28)</f>
        <v>0.6505993851809333</v>
      </c>
      <c r="H28" s="30"/>
      <c r="I28" s="33">
        <f t="shared" ca="1" si="0"/>
        <v>0.32834950925458267</v>
      </c>
      <c r="J28" s="30"/>
    </row>
    <row r="29" spans="1:10">
      <c r="A29" s="252">
        <f t="shared" si="1"/>
        <v>2006</v>
      </c>
      <c r="B29" s="30"/>
      <c r="C29" s="33">
        <f ca="1">+SUMIFS('Exhibit 3.1'!F:F,'Exhibit 3.1'!B:B,$A29)</f>
        <v>0.16137738356552236</v>
      </c>
      <c r="D29" s="30"/>
      <c r="E29" s="33">
        <f>+SUMIFS('Exhibit 4.1'!L:L,'Exhibit 4.1'!B:B,$A29)</f>
        <v>1.6816708621363663</v>
      </c>
      <c r="F29" s="30"/>
      <c r="G29" s="33">
        <f>SUMIFS('Exhibit 5.2'!S:S,'Exhibit 5.2'!A:A,A29)</f>
        <v>0.83658447278359704</v>
      </c>
      <c r="H29" s="30"/>
      <c r="I29" s="33">
        <f t="shared" ca="1" si="0"/>
        <v>0.32439478926372933</v>
      </c>
      <c r="J29" s="30"/>
    </row>
    <row r="30" spans="1:10">
      <c r="A30" s="252">
        <f t="shared" si="1"/>
        <v>2007</v>
      </c>
      <c r="B30" s="30"/>
      <c r="C30" s="33">
        <f ca="1">+SUMIFS('Exhibit 3.1'!F:F,'Exhibit 3.1'!B:B,$A30)</f>
        <v>0.22338696069827213</v>
      </c>
      <c r="D30" s="30"/>
      <c r="E30" s="33">
        <f>+SUMIFS('Exhibit 4.1'!L:L,'Exhibit 4.1'!B:B,$A30)</f>
        <v>1.6211438358799526</v>
      </c>
      <c r="F30" s="30"/>
      <c r="G30" s="33">
        <f>SUMIFS('Exhibit 5.2'!S:S,'Exhibit 5.2'!A:A,A30)</f>
        <v>1.069189319807698</v>
      </c>
      <c r="H30" s="30"/>
      <c r="I30" s="33">
        <f t="shared" ca="1" si="0"/>
        <v>0.33870745586674511</v>
      </c>
      <c r="J30" s="30"/>
    </row>
    <row r="31" spans="1:10">
      <c r="A31" s="252">
        <f t="shared" si="1"/>
        <v>2008</v>
      </c>
      <c r="B31" s="30"/>
      <c r="C31" s="33">
        <f ca="1">+SUMIFS('Exhibit 3.1'!F:F,'Exhibit 3.1'!B:B,$A31)</f>
        <v>0.28255172634150183</v>
      </c>
      <c r="D31" s="30"/>
      <c r="E31" s="33">
        <f>+SUMIFS('Exhibit 4.1'!L:L,'Exhibit 4.1'!B:B,$A31)</f>
        <v>1.522442545881044</v>
      </c>
      <c r="F31" s="30"/>
      <c r="G31" s="33">
        <f>SUMIFS('Exhibit 5.2'!S:S,'Exhibit 5.2'!A:A,A31)</f>
        <v>1.29171023005175</v>
      </c>
      <c r="H31" s="30"/>
      <c r="I31" s="33">
        <f t="shared" ca="1" si="0"/>
        <v>0.33302265445184731</v>
      </c>
      <c r="J31" s="30"/>
    </row>
    <row r="32" spans="1:10">
      <c r="A32" s="252">
        <f t="shared" si="1"/>
        <v>2009</v>
      </c>
      <c r="B32" s="30"/>
      <c r="C32" s="33">
        <f ca="1">+SUMIFS('Exhibit 3.1'!F:F,'Exhibit 3.1'!B:B,$A32)</f>
        <v>0.33131665560561552</v>
      </c>
      <c r="D32" s="30"/>
      <c r="E32" s="33">
        <f>+SUMIFS('Exhibit 4.1'!L:L,'Exhibit 4.1'!B:B,$A32)</f>
        <v>1.4924559537041531</v>
      </c>
      <c r="F32" s="30"/>
      <c r="G32" s="33">
        <f>SUMIFS('Exhibit 5.2'!S:S,'Exhibit 5.2'!A:A,A32)</f>
        <v>1.3935529468799639</v>
      </c>
      <c r="H32" s="30"/>
      <c r="I32" s="33">
        <f t="shared" ca="1" si="0"/>
        <v>0.35483080591019828</v>
      </c>
      <c r="J32" s="30"/>
    </row>
    <row r="33" spans="1:14">
      <c r="A33" s="252">
        <f t="shared" si="1"/>
        <v>2010</v>
      </c>
      <c r="B33" s="30"/>
      <c r="C33" s="33">
        <f ca="1">+SUMIFS('Exhibit 3.1'!F:F,'Exhibit 3.1'!B:B,$A33)</f>
        <v>0.31952590876998266</v>
      </c>
      <c r="D33" s="30"/>
      <c r="E33" s="33">
        <f>+SUMIFS('Exhibit 4.1'!L:L,'Exhibit 4.1'!B:B,$A33)</f>
        <v>1.4645417872393709</v>
      </c>
      <c r="F33" s="30"/>
      <c r="G33" s="33">
        <f>SUMIFS('Exhibit 5.2'!S:S,'Exhibit 5.2'!A:A,A33)</f>
        <v>1.2669473074552406</v>
      </c>
      <c r="H33" s="30"/>
      <c r="I33" s="33">
        <f t="shared" ca="1" si="0"/>
        <v>0.36935951696302638</v>
      </c>
      <c r="J33" s="30"/>
    </row>
    <row r="34" spans="1:14">
      <c r="A34" s="252">
        <f t="shared" si="1"/>
        <v>2011</v>
      </c>
      <c r="B34" s="30"/>
      <c r="C34" s="33">
        <f ca="1">+SUMIFS('Exhibit 3.1'!F:F,'Exhibit 3.1'!B:B,$A34)</f>
        <v>0.29805455345701742</v>
      </c>
      <c r="D34" s="30"/>
      <c r="E34" s="33">
        <f>+SUMIFS('Exhibit 4.1'!L:L,'Exhibit 4.1'!B:B,$A34)</f>
        <v>1.4443212891907011</v>
      </c>
      <c r="F34" s="30"/>
      <c r="G34" s="33">
        <f>SUMIFS('Exhibit 5.2'!S:S,'Exhibit 5.2'!A:A,A34)</f>
        <v>1.1570267476998612</v>
      </c>
      <c r="H34" s="30"/>
      <c r="I34" s="33">
        <f t="shared" ca="1" si="0"/>
        <v>0.37206273558843311</v>
      </c>
      <c r="J34" s="30"/>
    </row>
    <row r="35" spans="1:14">
      <c r="A35" s="252">
        <f t="shared" si="1"/>
        <v>2012</v>
      </c>
      <c r="B35" s="30"/>
      <c r="C35" s="33">
        <f ca="1">+SUMIFS('Exhibit 3.1'!F:F,'Exhibit 3.1'!B:B,$A35)</f>
        <v>0.2666910387318554</v>
      </c>
      <c r="D35" s="30"/>
      <c r="E35" s="33">
        <f>+SUMIFS('Exhibit 4.1'!L:L,'Exhibit 4.1'!B:B,$A35)</f>
        <v>1.4264305813909886</v>
      </c>
      <c r="F35" s="30"/>
      <c r="G35" s="33">
        <f>SUMIFS('Exhibit 5.2'!S:S,'Exhibit 5.2'!A:A,A35)</f>
        <v>1.0296271741001861</v>
      </c>
      <c r="H35" s="30"/>
      <c r="I35" s="33">
        <f t="shared" ca="1" si="0"/>
        <v>0.36946990425199422</v>
      </c>
      <c r="J35" s="30"/>
    </row>
    <row r="36" spans="1:14">
      <c r="A36" s="252">
        <f t="shared" si="1"/>
        <v>2013</v>
      </c>
      <c r="B36" s="33"/>
      <c r="C36" s="33">
        <f ca="1">+SUMIFS('Exhibit 3.1'!F:F,'Exhibit 3.1'!B:B,$A36)</f>
        <v>0.22798839483143848</v>
      </c>
      <c r="D36" s="33"/>
      <c r="E36" s="33">
        <f>+SUMIFS('Exhibit 4.1'!L:L,'Exhibit 4.1'!B:B,$A36)</f>
        <v>1.394925718837271</v>
      </c>
      <c r="F36" s="33"/>
      <c r="G36" s="33">
        <f>SUMIFS('Exhibit 5.2'!S:S,'Exhibit 5.2'!A:A,A36)</f>
        <v>0.89990638627593</v>
      </c>
      <c r="H36" s="61"/>
      <c r="I36" s="33">
        <f t="shared" ca="1" si="0"/>
        <v>0.35339995403620372</v>
      </c>
      <c r="J36" s="33"/>
    </row>
    <row r="37" spans="1:14">
      <c r="A37" s="252">
        <f t="shared" si="1"/>
        <v>2014</v>
      </c>
      <c r="B37" s="33"/>
      <c r="C37" s="33">
        <f ca="1">+SUMIFS('Exhibit 3.1'!F:F,'Exhibit 3.1'!B:B,$A37)</f>
        <v>0.2163609871743257</v>
      </c>
      <c r="D37" s="33"/>
      <c r="E37" s="33">
        <f>+SUMIFS('Exhibit 4.1'!L:L,'Exhibit 4.1'!B:B,$A37)</f>
        <v>1.2774632396187326</v>
      </c>
      <c r="F37" s="33"/>
      <c r="G37" s="33">
        <f>SUMIFS('Exhibit 5.2'!S:S,'Exhibit 5.2'!A:A,A37)</f>
        <v>0.8289410916825406</v>
      </c>
      <c r="H37" s="61"/>
      <c r="I37" s="33">
        <f t="shared" ca="1" si="0"/>
        <v>0.33342925133776746</v>
      </c>
      <c r="J37" s="33"/>
    </row>
    <row r="38" spans="1:14">
      <c r="A38" s="252">
        <f t="shared" si="1"/>
        <v>2015</v>
      </c>
      <c r="B38" s="33"/>
      <c r="C38" s="33">
        <f ca="1">+SUMIFS('Exhibit 3.1'!F:F,'Exhibit 3.1'!B:B,$A38)</f>
        <v>0.21156074393614055</v>
      </c>
      <c r="D38" s="33"/>
      <c r="E38" s="33">
        <f>+SUMIFS('Exhibit 4.1'!L:L,'Exhibit 4.1'!B:B,$A38)</f>
        <v>1.2592983959314765</v>
      </c>
      <c r="F38" s="33"/>
      <c r="G38" s="33">
        <f>SUMIFS('Exhibit 5.2'!S:S,'Exhibit 5.2'!A:A,A38)</f>
        <v>0.79129880494306504</v>
      </c>
      <c r="H38" s="61"/>
      <c r="I38" s="33">
        <f t="shared" ca="1" si="0"/>
        <v>0.33668457960077519</v>
      </c>
      <c r="J38" s="33"/>
    </row>
    <row r="39" spans="1:14">
      <c r="A39" s="252">
        <f t="shared" si="1"/>
        <v>2016</v>
      </c>
      <c r="B39" s="33"/>
      <c r="C39" s="33">
        <f ca="1">+SUMIFS('Exhibit 3.1'!F:F,'Exhibit 3.1'!B:B,$A39)</f>
        <v>0.2002993935839979</v>
      </c>
      <c r="D39" s="33"/>
      <c r="E39" s="33">
        <f>+SUMIFS('Exhibit 4.1'!L:L,'Exhibit 4.1'!B:B,$A39)</f>
        <v>1.2434727186413284</v>
      </c>
      <c r="F39" s="33"/>
      <c r="G39" s="33">
        <f>SUMIFS('Exhibit 5.2'!S:S,'Exhibit 5.2'!A:A,A39)</f>
        <v>0.81751053158444298</v>
      </c>
      <c r="H39" s="61"/>
      <c r="I39" s="33">
        <f ca="1">C39*E39/G39</f>
        <v>0.30466498211268184</v>
      </c>
      <c r="J39" s="33"/>
    </row>
    <row r="40" spans="1:14">
      <c r="A40" s="252">
        <f t="shared" si="1"/>
        <v>2017</v>
      </c>
      <c r="B40" s="33"/>
      <c r="C40" s="33">
        <f ca="1">+SUMIFS('Exhibit 3.1'!F:F,'Exhibit 3.1'!B:B,$A40)</f>
        <v>0.20500315309261949</v>
      </c>
      <c r="D40" s="33"/>
      <c r="E40" s="33">
        <f>+SUMIFS('Exhibit 4.1'!L:L,'Exhibit 4.1'!B:B,$A40)</f>
        <v>1.2110134409774338</v>
      </c>
      <c r="F40" s="33"/>
      <c r="G40" s="33">
        <f>SUMIFS('Exhibit 5.2'!S:S,'Exhibit 5.2'!A:A,A40)</f>
        <v>0.85652118830866486</v>
      </c>
      <c r="H40" s="299"/>
      <c r="I40" s="33">
        <f t="shared" ref="I40:I44" ca="1" si="2">C40*E40/G40</f>
        <v>0.28984872438257847</v>
      </c>
      <c r="J40" s="30"/>
    </row>
    <row r="41" spans="1:14">
      <c r="A41" s="252">
        <f t="shared" si="1"/>
        <v>2018</v>
      </c>
      <c r="B41" s="33"/>
      <c r="C41" s="33">
        <f ca="1">+SUMIFS('Exhibit 3.1'!F:F,'Exhibit 3.1'!B:B,$A41)</f>
        <v>0.2197161730791887</v>
      </c>
      <c r="D41" s="33"/>
      <c r="E41" s="33">
        <f>+SUMIFS('Exhibit 4.1'!L:L,'Exhibit 4.1'!B:B,$A41)</f>
        <v>1.1797537420257267</v>
      </c>
      <c r="F41" s="33"/>
      <c r="G41" s="33">
        <f>SUMIFS('Exhibit 5.2'!S:S,'Exhibit 5.2'!A:A,A41)</f>
        <v>0.90181801584360444</v>
      </c>
      <c r="H41" s="299"/>
      <c r="I41" s="33">
        <f t="shared" ca="1" si="2"/>
        <v>0.2874315802299276</v>
      </c>
      <c r="J41" s="30"/>
    </row>
    <row r="42" spans="1:14" ht="15">
      <c r="A42" s="252">
        <f t="shared" si="1"/>
        <v>2019</v>
      </c>
      <c r="B42" s="33"/>
      <c r="C42" s="33">
        <f ca="1">+SUMIFS('Exhibit 3.1'!F:F,'Exhibit 3.1'!B:B,$A42)</f>
        <v>0.25813981458563012</v>
      </c>
      <c r="D42" s="33"/>
      <c r="E42" s="33">
        <f>+SUMIFS('Exhibit 4.1'!L:L,'Exhibit 4.1'!B:B,$A42)</f>
        <v>1.1478561957726399</v>
      </c>
      <c r="F42" s="33"/>
      <c r="G42" s="33">
        <f>SUMIFS('Exhibit 5.2'!S:S,'Exhibit 5.2'!A:A,A42)</f>
        <v>1.0003764532119068</v>
      </c>
      <c r="H42" s="299"/>
      <c r="I42" s="33">
        <f t="shared" ca="1" si="2"/>
        <v>0.29619588165671279</v>
      </c>
      <c r="J42" s="30"/>
      <c r="K42"/>
      <c r="L42"/>
      <c r="M42"/>
    </row>
    <row r="43" spans="1:14" ht="15">
      <c r="A43" s="252">
        <f t="shared" si="1"/>
        <v>2020</v>
      </c>
      <c r="B43" s="33"/>
      <c r="C43" s="33">
        <f ca="1">+SUMIFS('Exhibit 3.1'!F:F,'Exhibit 3.1'!B:B,$A43)</f>
        <v>0.27691143511752508</v>
      </c>
      <c r="D43" s="33"/>
      <c r="E43" s="33">
        <f>+SUMIFS('Exhibit 4.1'!L:L,'Exhibit 4.1'!B:B,$A43)</f>
        <v>1.1097624885893227</v>
      </c>
      <c r="F43" s="33"/>
      <c r="G43" s="33">
        <f>SUMIFS('Exhibit 5.2'!S:S,'Exhibit 5.2'!A:A,A43)</f>
        <v>1.0606775930272596</v>
      </c>
      <c r="H43" s="299"/>
      <c r="I43" s="33">
        <f t="shared" ca="1" si="2"/>
        <v>0.28972604434660437</v>
      </c>
      <c r="J43" s="30"/>
      <c r="K43" s="544" t="s">
        <v>245</v>
      </c>
      <c r="L43" s="545"/>
      <c r="M43" s="546"/>
    </row>
    <row r="44" spans="1:14">
      <c r="A44" s="252">
        <f t="shared" si="1"/>
        <v>2021</v>
      </c>
      <c r="B44" s="33"/>
      <c r="C44" s="33">
        <f ca="1">+SUMIFS('Exhibit 3.1'!F:F,'Exhibit 3.1'!B:B,$A44)</f>
        <v>0.32471534860475149</v>
      </c>
      <c r="D44" s="33"/>
      <c r="E44" s="33">
        <f>+SUMIFS('Exhibit 4.1'!L:L,'Exhibit 4.1'!B:B,$A44)</f>
        <v>1.0655843216400172</v>
      </c>
      <c r="F44" s="33"/>
      <c r="G44" s="33">
        <f>SUMIFS('Exhibit 5.2'!S:S,'Exhibit 5.2'!A:A,A44)</f>
        <v>1.0906938319612731</v>
      </c>
      <c r="H44" s="299"/>
      <c r="I44" s="33">
        <f t="shared" ca="1" si="2"/>
        <v>0.31723988375995649</v>
      </c>
      <c r="J44" s="30"/>
      <c r="K44" s="316" t="s">
        <v>355</v>
      </c>
      <c r="L44" s="317" t="s">
        <v>244</v>
      </c>
      <c r="M44" s="318" t="s">
        <v>285</v>
      </c>
    </row>
    <row r="45" spans="1:14">
      <c r="A45" s="52"/>
      <c r="B45" s="62"/>
      <c r="C45" s="122"/>
      <c r="D45" s="26"/>
      <c r="E45" s="61"/>
      <c r="F45" s="61"/>
      <c r="G45" s="61"/>
      <c r="H45" s="62"/>
      <c r="J45" s="62"/>
      <c r="K45" s="131" t="str">
        <f>LEFT('Exhibit 6.1'!A49,4)</f>
        <v>2020</v>
      </c>
      <c r="L45" s="492">
        <f>'Exhibit 6.1'!$B49</f>
        <v>-9.3187862754862572E-2</v>
      </c>
      <c r="M45" s="210">
        <f>'Exhibit 6.2'!$L$47</f>
        <v>0.01</v>
      </c>
    </row>
    <row r="46" spans="1:14">
      <c r="A46" s="52"/>
      <c r="B46" s="62"/>
      <c r="C46" s="225"/>
      <c r="D46" s="26"/>
      <c r="E46" s="61"/>
      <c r="F46" s="61"/>
      <c r="G46" s="61"/>
      <c r="H46" s="62"/>
      <c r="I46" s="61" t="s">
        <v>224</v>
      </c>
      <c r="J46" s="62"/>
      <c r="K46" s="131" t="str">
        <f>+'Exhibit 6.1'!A50&amp;"*"</f>
        <v>2021*</v>
      </c>
      <c r="L46" s="492">
        <v>7.8500671910616049E-2</v>
      </c>
      <c r="M46" s="210">
        <f>'Exhibit 6.2'!$L$47</f>
        <v>0.01</v>
      </c>
      <c r="N46" s="347" t="s">
        <v>567</v>
      </c>
    </row>
    <row r="47" spans="1:14">
      <c r="A47" s="34">
        <f>A44+1</f>
        <v>2022</v>
      </c>
      <c r="B47" s="62"/>
      <c r="C47" s="122"/>
      <c r="D47" s="26"/>
      <c r="E47" s="61"/>
      <c r="F47" s="61"/>
      <c r="G47" s="61"/>
      <c r="H47" s="62"/>
      <c r="I47" s="30">
        <f ca="1">AVERAGE($I$42*(1+$L$45)*(1+$L$46)*(1+$L$47)*(1+$M$45)*(1+$M$46)*(1+$M$47),$I$44*(1+$L$47)*(1+$M$47))</f>
        <v>0.31396764898130758</v>
      </c>
      <c r="J47" s="62"/>
      <c r="K47" s="131">
        <f>+'Exhibit 6.1'!A51</f>
        <v>2022</v>
      </c>
      <c r="L47" s="492">
        <f>'Exhibit 6.1'!$B51</f>
        <v>1.4650322314951003E-2</v>
      </c>
      <c r="M47" s="319">
        <f>+'Exhibit 6.2'!$L$47</f>
        <v>0.01</v>
      </c>
    </row>
    <row r="48" spans="1:14">
      <c r="A48" s="34">
        <f>A47+1</f>
        <v>2023</v>
      </c>
      <c r="B48" s="62"/>
      <c r="C48" s="122"/>
      <c r="D48" s="26"/>
      <c r="E48" s="61"/>
      <c r="F48" s="61"/>
      <c r="G48" s="61"/>
      <c r="H48" s="62"/>
      <c r="I48" s="30">
        <f ca="1">I47*(1+L48)*(1+M48)</f>
        <v>0.31758165267221217</v>
      </c>
      <c r="J48" s="62"/>
      <c r="K48" s="131">
        <f>+'Exhibit 6.1'!A52</f>
        <v>2023</v>
      </c>
      <c r="L48" s="492">
        <f>'Exhibit 6.1'!$B52</f>
        <v>1.4957938937134596E-3</v>
      </c>
      <c r="M48" s="319">
        <f>+'Exhibit 6.2'!$L$47</f>
        <v>0.01</v>
      </c>
    </row>
    <row r="49" spans="1:13">
      <c r="A49" s="58" t="str">
        <f>'Exhibit 4.1'!$B$46</f>
        <v>9/1/2023</v>
      </c>
      <c r="B49" s="255"/>
      <c r="C49" s="39"/>
      <c r="D49" s="41"/>
      <c r="E49" s="113"/>
      <c r="F49" s="113"/>
      <c r="G49" s="113"/>
      <c r="H49" s="255"/>
      <c r="I49" s="30">
        <f ca="1">I48*((1+L49)^(2/12))*((1+M49)^(2/12))</f>
        <v>0.31734799829135169</v>
      </c>
      <c r="J49" s="62"/>
      <c r="K49" s="320">
        <f>+'Exhibit 6.1'!A53</f>
        <v>2024</v>
      </c>
      <c r="L49" s="493">
        <f>'Exhibit 6.1'!$B53</f>
        <v>-1.4263632747320787E-2</v>
      </c>
      <c r="M49" s="321">
        <f>+'Exhibit 6.2'!$L$47</f>
        <v>0.01</v>
      </c>
    </row>
    <row r="50" spans="1:13">
      <c r="A50" s="61"/>
      <c r="B50" s="62"/>
      <c r="C50" s="162"/>
      <c r="D50" s="26"/>
      <c r="E50" s="61"/>
      <c r="F50" s="61"/>
      <c r="G50" s="61"/>
      <c r="H50" s="62"/>
      <c r="I50" s="62"/>
      <c r="J50" s="62"/>
      <c r="K50" s="110"/>
      <c r="L50" s="110"/>
      <c r="M50" s="110"/>
    </row>
    <row r="51" spans="1:13">
      <c r="A51" s="31" t="s">
        <v>22</v>
      </c>
      <c r="B51" s="521" t="s">
        <v>225</v>
      </c>
      <c r="C51" s="521"/>
      <c r="D51" s="521"/>
      <c r="E51" s="521"/>
      <c r="F51" s="521"/>
      <c r="G51" s="521"/>
      <c r="H51" s="521"/>
      <c r="I51" s="521"/>
      <c r="J51" s="62"/>
    </row>
    <row r="52" spans="1:13">
      <c r="A52" s="31" t="s">
        <v>28</v>
      </c>
      <c r="B52" s="521" t="s">
        <v>226</v>
      </c>
      <c r="C52" s="521"/>
      <c r="D52" s="521"/>
      <c r="E52" s="521"/>
      <c r="F52" s="521"/>
      <c r="G52" s="521"/>
      <c r="H52" s="521"/>
      <c r="I52" s="521"/>
      <c r="J52" s="62"/>
    </row>
    <row r="53" spans="1:13">
      <c r="A53" s="31" t="s">
        <v>38</v>
      </c>
      <c r="B53" s="521" t="s">
        <v>227</v>
      </c>
      <c r="C53" s="521"/>
      <c r="D53" s="521"/>
      <c r="E53" s="521"/>
      <c r="F53" s="521"/>
      <c r="G53" s="521"/>
      <c r="H53" s="521"/>
      <c r="I53" s="521"/>
      <c r="J53" s="10"/>
    </row>
    <row r="54" spans="1:13" ht="52.5" customHeight="1">
      <c r="A54" s="31" t="s">
        <v>57</v>
      </c>
      <c r="B54" s="521" t="s">
        <v>554</v>
      </c>
      <c r="C54" s="521"/>
      <c r="D54" s="521"/>
      <c r="E54" s="521"/>
      <c r="F54" s="521"/>
      <c r="G54" s="521"/>
      <c r="H54" s="521"/>
      <c r="I54" s="521"/>
      <c r="J54" s="10"/>
    </row>
  </sheetData>
  <mergeCells count="5">
    <mergeCell ref="B54:I54"/>
    <mergeCell ref="B51:I51"/>
    <mergeCell ref="K43:M43"/>
    <mergeCell ref="B52:I52"/>
    <mergeCell ref="B53:I53"/>
  </mergeCells>
  <printOptions horizontalCentered="1"/>
  <pageMargins left="0.5" right="0.5" top="0.75" bottom="0.75" header="0.33" footer="0.33"/>
  <pageSetup scale="86" orientation="portrait" blackAndWhite="1" horizontalDpi="1200" verticalDpi="1200" r:id="rId1"/>
  <headerFooter scaleWithDoc="0">
    <oddHeader>&amp;R&amp;"Arial,Regular"&amp;10Exhibit 7.1</oddHeader>
  </headerFooter>
  <ignoredErrors>
    <ignoredError sqref="C5:I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V33"/>
  <sheetViews>
    <sheetView zoomScaleNormal="100" workbookViewId="0"/>
  </sheetViews>
  <sheetFormatPr defaultColWidth="9.140625" defaultRowHeight="12.75"/>
  <cols>
    <col min="1" max="1" width="13.140625" style="108" customWidth="1"/>
    <col min="2" max="21" width="7.7109375" style="108" customWidth="1"/>
    <col min="22" max="22" width="13.140625" style="110" bestFit="1" customWidth="1"/>
    <col min="23" max="16384" width="9.140625" style="108"/>
  </cols>
  <sheetData>
    <row r="1" spans="1:22" ht="15" customHeight="1">
      <c r="A1" s="240" t="s">
        <v>23</v>
      </c>
      <c r="B1" s="240"/>
      <c r="C1" s="240"/>
      <c r="D1" s="240"/>
      <c r="E1" s="240"/>
      <c r="F1" s="240"/>
      <c r="G1" s="240"/>
      <c r="H1" s="240"/>
      <c r="I1" s="240"/>
      <c r="J1" s="240"/>
      <c r="K1" s="240"/>
      <c r="L1" s="240"/>
      <c r="M1" s="240"/>
      <c r="N1" s="240"/>
      <c r="O1" s="240"/>
      <c r="P1" s="240"/>
      <c r="Q1" s="240"/>
      <c r="R1" s="240"/>
      <c r="S1" s="240"/>
      <c r="T1" s="240"/>
      <c r="U1" s="240"/>
      <c r="V1" s="182"/>
    </row>
    <row r="2" spans="1:22">
      <c r="A2" s="118"/>
      <c r="B2" s="118"/>
      <c r="C2" s="118"/>
      <c r="D2" s="118"/>
      <c r="E2" s="118"/>
      <c r="F2" s="118"/>
      <c r="G2" s="118"/>
      <c r="H2" s="118"/>
      <c r="I2" s="118"/>
      <c r="J2" s="118"/>
      <c r="K2" s="118"/>
      <c r="L2" s="118"/>
      <c r="M2" s="118"/>
      <c r="N2" s="118"/>
      <c r="O2" s="118"/>
      <c r="P2" s="118"/>
      <c r="Q2" s="160"/>
      <c r="R2" s="134"/>
      <c r="S2" s="285"/>
      <c r="T2" s="285"/>
      <c r="U2" s="285"/>
    </row>
    <row r="3" spans="1:22" ht="15">
      <c r="A3" s="120"/>
      <c r="B3" s="242" t="s">
        <v>18</v>
      </c>
      <c r="C3" s="242"/>
      <c r="D3" s="242"/>
      <c r="E3" s="242"/>
      <c r="F3" s="242"/>
      <c r="G3" s="242"/>
      <c r="H3" s="242"/>
      <c r="I3" s="242"/>
      <c r="J3" s="242"/>
      <c r="K3" s="242"/>
      <c r="L3" s="242"/>
      <c r="M3" s="242"/>
      <c r="N3" s="242"/>
      <c r="O3" s="242"/>
      <c r="P3" s="242"/>
      <c r="Q3" s="242"/>
      <c r="R3" s="242"/>
      <c r="S3" s="242"/>
      <c r="T3" s="242"/>
      <c r="U3" s="242"/>
      <c r="V3" s="211"/>
    </row>
    <row r="4" spans="1:22">
      <c r="A4" s="11" t="s">
        <v>19</v>
      </c>
      <c r="B4" s="11" t="s">
        <v>461</v>
      </c>
      <c r="C4" s="11" t="s">
        <v>462</v>
      </c>
      <c r="D4" s="11" t="s">
        <v>463</v>
      </c>
      <c r="E4" s="11" t="s">
        <v>464</v>
      </c>
      <c r="F4" s="11" t="s">
        <v>465</v>
      </c>
      <c r="G4" s="11" t="s">
        <v>466</v>
      </c>
      <c r="H4" s="11" t="s">
        <v>467</v>
      </c>
      <c r="I4" s="11" t="s">
        <v>468</v>
      </c>
      <c r="J4" s="11" t="s">
        <v>469</v>
      </c>
      <c r="K4" s="11" t="s">
        <v>470</v>
      </c>
      <c r="L4" s="11" t="s">
        <v>471</v>
      </c>
      <c r="M4" s="11" t="s">
        <v>472</v>
      </c>
      <c r="N4" s="11" t="s">
        <v>473</v>
      </c>
      <c r="O4" s="11" t="s">
        <v>474</v>
      </c>
      <c r="P4" s="11" t="s">
        <v>475</v>
      </c>
      <c r="Q4" s="11" t="s">
        <v>476</v>
      </c>
      <c r="R4" s="11" t="s">
        <v>477</v>
      </c>
      <c r="S4" s="11" t="s">
        <v>478</v>
      </c>
      <c r="T4" s="11" t="s">
        <v>479</v>
      </c>
      <c r="U4" s="11" t="s">
        <v>507</v>
      </c>
      <c r="V4" s="11" t="s">
        <v>508</v>
      </c>
    </row>
    <row r="5" spans="1:22">
      <c r="A5" s="12">
        <f t="shared" ref="A5:A25" si="0">+A6-1</f>
        <v>1983</v>
      </c>
      <c r="B5" s="362" t="s">
        <v>34</v>
      </c>
      <c r="C5" s="362" t="s">
        <v>34</v>
      </c>
      <c r="D5" s="362" t="s">
        <v>34</v>
      </c>
      <c r="E5" s="362" t="s">
        <v>34</v>
      </c>
      <c r="F5" s="362" t="s">
        <v>34</v>
      </c>
      <c r="G5" s="362" t="s">
        <v>34</v>
      </c>
      <c r="H5" s="362" t="s">
        <v>34</v>
      </c>
      <c r="I5" s="362" t="s">
        <v>34</v>
      </c>
      <c r="J5" s="362">
        <v>1</v>
      </c>
      <c r="K5" s="362">
        <v>1</v>
      </c>
      <c r="L5" s="362">
        <v>1.0009999999999999</v>
      </c>
      <c r="M5" s="362">
        <v>1.0009999999999999</v>
      </c>
      <c r="N5" s="362">
        <v>1.0009999999999999</v>
      </c>
      <c r="O5" s="362">
        <v>1.0009999999999999</v>
      </c>
      <c r="P5" s="362">
        <v>1.0009999999999999</v>
      </c>
      <c r="Q5" s="362">
        <v>1</v>
      </c>
      <c r="R5" s="362">
        <v>1.0009999999999999</v>
      </c>
      <c r="S5" s="362">
        <v>1.0009999999999999</v>
      </c>
      <c r="T5" s="362">
        <v>1.0009999999999999</v>
      </c>
      <c r="U5" s="362">
        <v>1.0009999999999999</v>
      </c>
      <c r="V5" s="21"/>
    </row>
    <row r="6" spans="1:22">
      <c r="A6" s="12">
        <f t="shared" si="0"/>
        <v>1984</v>
      </c>
      <c r="B6" s="362" t="s">
        <v>34</v>
      </c>
      <c r="C6" s="362" t="s">
        <v>34</v>
      </c>
      <c r="D6" s="362" t="s">
        <v>34</v>
      </c>
      <c r="E6" s="362" t="s">
        <v>34</v>
      </c>
      <c r="F6" s="362" t="s">
        <v>34</v>
      </c>
      <c r="G6" s="362" t="s">
        <v>34</v>
      </c>
      <c r="H6" s="362" t="s">
        <v>34</v>
      </c>
      <c r="I6" s="362">
        <v>1</v>
      </c>
      <c r="J6" s="362">
        <v>1.0009999999999999</v>
      </c>
      <c r="K6" s="362">
        <v>1.0009999999999999</v>
      </c>
      <c r="L6" s="362">
        <v>1</v>
      </c>
      <c r="M6" s="362">
        <v>1.0009999999999999</v>
      </c>
      <c r="N6" s="362">
        <v>1.0009999999999999</v>
      </c>
      <c r="O6" s="362">
        <v>1</v>
      </c>
      <c r="P6" s="362">
        <v>0.999</v>
      </c>
      <c r="Q6" s="362">
        <v>1</v>
      </c>
      <c r="R6" s="362">
        <v>1</v>
      </c>
      <c r="S6" s="362">
        <v>1.0009999999999999</v>
      </c>
      <c r="T6" s="362">
        <v>1.0009999999999999</v>
      </c>
      <c r="U6" s="362">
        <v>1</v>
      </c>
      <c r="V6" s="21"/>
    </row>
    <row r="7" spans="1:22">
      <c r="A7" s="12">
        <f t="shared" si="0"/>
        <v>1985</v>
      </c>
      <c r="B7" s="362" t="s">
        <v>34</v>
      </c>
      <c r="C7" s="362" t="s">
        <v>34</v>
      </c>
      <c r="D7" s="362" t="s">
        <v>34</v>
      </c>
      <c r="E7" s="362" t="s">
        <v>34</v>
      </c>
      <c r="F7" s="362" t="s">
        <v>34</v>
      </c>
      <c r="G7" s="362" t="s">
        <v>34</v>
      </c>
      <c r="H7" s="362">
        <v>1</v>
      </c>
      <c r="I7" s="362">
        <v>1.0009999999999999</v>
      </c>
      <c r="J7" s="362">
        <v>1</v>
      </c>
      <c r="K7" s="362">
        <v>1.0009999999999999</v>
      </c>
      <c r="L7" s="362">
        <v>1.0009999999999999</v>
      </c>
      <c r="M7" s="362">
        <v>1.0009999999999999</v>
      </c>
      <c r="N7" s="362">
        <v>1.0009999999999999</v>
      </c>
      <c r="O7" s="362">
        <v>1</v>
      </c>
      <c r="P7" s="362">
        <v>1</v>
      </c>
      <c r="Q7" s="362">
        <v>1</v>
      </c>
      <c r="R7" s="362">
        <v>1</v>
      </c>
      <c r="S7" s="362">
        <v>1</v>
      </c>
      <c r="T7" s="362">
        <v>1</v>
      </c>
      <c r="U7" s="362">
        <v>1</v>
      </c>
      <c r="V7" s="21"/>
    </row>
    <row r="8" spans="1:22">
      <c r="A8" s="12">
        <f t="shared" si="0"/>
        <v>1986</v>
      </c>
      <c r="B8" s="362" t="s">
        <v>34</v>
      </c>
      <c r="C8" s="362" t="s">
        <v>34</v>
      </c>
      <c r="D8" s="362" t="s">
        <v>34</v>
      </c>
      <c r="E8" s="362" t="s">
        <v>34</v>
      </c>
      <c r="F8" s="362" t="s">
        <v>34</v>
      </c>
      <c r="G8" s="362">
        <v>1.0009999999999999</v>
      </c>
      <c r="H8" s="362">
        <v>1.0009999999999999</v>
      </c>
      <c r="I8" s="362">
        <v>1</v>
      </c>
      <c r="J8" s="362">
        <v>1.0009999999999999</v>
      </c>
      <c r="K8" s="362">
        <v>1.002</v>
      </c>
      <c r="L8" s="362">
        <v>1.0009999999999999</v>
      </c>
      <c r="M8" s="362">
        <v>1</v>
      </c>
      <c r="N8" s="362">
        <v>0.999</v>
      </c>
      <c r="O8" s="362">
        <v>1</v>
      </c>
      <c r="P8" s="362">
        <v>1</v>
      </c>
      <c r="Q8" s="362">
        <v>1</v>
      </c>
      <c r="R8" s="362">
        <v>1</v>
      </c>
      <c r="S8" s="362">
        <v>1.0009999999999999</v>
      </c>
      <c r="T8" s="362">
        <v>1</v>
      </c>
      <c r="U8" s="362" t="s">
        <v>34</v>
      </c>
      <c r="V8" s="21"/>
    </row>
    <row r="9" spans="1:22">
      <c r="A9" s="12">
        <f t="shared" si="0"/>
        <v>1987</v>
      </c>
      <c r="B9" s="362" t="s">
        <v>34</v>
      </c>
      <c r="C9" s="362" t="s">
        <v>34</v>
      </c>
      <c r="D9" s="362" t="s">
        <v>34</v>
      </c>
      <c r="E9" s="362" t="s">
        <v>34</v>
      </c>
      <c r="F9" s="362">
        <v>0.999</v>
      </c>
      <c r="G9" s="362">
        <v>1</v>
      </c>
      <c r="H9" s="362">
        <v>1</v>
      </c>
      <c r="I9" s="362">
        <v>1.0009999999999999</v>
      </c>
      <c r="J9" s="362">
        <v>1.002</v>
      </c>
      <c r="K9" s="362">
        <v>1</v>
      </c>
      <c r="L9" s="362">
        <v>1.0009999999999999</v>
      </c>
      <c r="M9" s="362">
        <v>1.0009999999999999</v>
      </c>
      <c r="N9" s="362">
        <v>1.0009999999999999</v>
      </c>
      <c r="O9" s="362">
        <v>1.0009999999999999</v>
      </c>
      <c r="P9" s="362">
        <v>1.0009999999999999</v>
      </c>
      <c r="Q9" s="362">
        <v>1</v>
      </c>
      <c r="R9" s="362">
        <v>1.0009999999999999</v>
      </c>
      <c r="S9" s="362">
        <v>1</v>
      </c>
      <c r="T9" s="362" t="s">
        <v>34</v>
      </c>
      <c r="U9" s="362" t="s">
        <v>34</v>
      </c>
      <c r="V9" s="21"/>
    </row>
    <row r="10" spans="1:22">
      <c r="A10" s="12">
        <f t="shared" si="0"/>
        <v>1988</v>
      </c>
      <c r="B10" s="362" t="s">
        <v>34</v>
      </c>
      <c r="C10" s="362" t="s">
        <v>34</v>
      </c>
      <c r="D10" s="362" t="s">
        <v>34</v>
      </c>
      <c r="E10" s="362">
        <v>1.0009999999999999</v>
      </c>
      <c r="F10" s="362">
        <v>1</v>
      </c>
      <c r="G10" s="362">
        <v>1.0009999999999999</v>
      </c>
      <c r="H10" s="362">
        <v>1.002</v>
      </c>
      <c r="I10" s="362">
        <v>1.0009999999999999</v>
      </c>
      <c r="J10" s="362">
        <v>1</v>
      </c>
      <c r="K10" s="362">
        <v>1</v>
      </c>
      <c r="L10" s="362">
        <v>1</v>
      </c>
      <c r="M10" s="362">
        <v>1</v>
      </c>
      <c r="N10" s="362">
        <v>1</v>
      </c>
      <c r="O10" s="362">
        <v>1</v>
      </c>
      <c r="P10" s="362">
        <v>1.0009999999999999</v>
      </c>
      <c r="Q10" s="362">
        <v>1.0009999999999999</v>
      </c>
      <c r="R10" s="362">
        <v>1</v>
      </c>
      <c r="S10" s="362" t="s">
        <v>34</v>
      </c>
      <c r="T10" s="362" t="s">
        <v>34</v>
      </c>
      <c r="U10" s="362" t="s">
        <v>34</v>
      </c>
      <c r="V10" s="21"/>
    </row>
    <row r="11" spans="1:22">
      <c r="A11" s="12">
        <f t="shared" si="0"/>
        <v>1989</v>
      </c>
      <c r="B11" s="362" t="s">
        <v>34</v>
      </c>
      <c r="C11" s="362" t="s">
        <v>34</v>
      </c>
      <c r="D11" s="362">
        <v>1</v>
      </c>
      <c r="E11" s="362">
        <v>1.0009999999999999</v>
      </c>
      <c r="F11" s="362">
        <v>1</v>
      </c>
      <c r="G11" s="362">
        <v>1.0009999999999999</v>
      </c>
      <c r="H11" s="362">
        <v>1</v>
      </c>
      <c r="I11" s="362">
        <v>1</v>
      </c>
      <c r="J11" s="362">
        <v>1</v>
      </c>
      <c r="K11" s="362">
        <v>1.0009999999999999</v>
      </c>
      <c r="L11" s="362">
        <v>1</v>
      </c>
      <c r="M11" s="362">
        <v>1</v>
      </c>
      <c r="N11" s="362">
        <v>1</v>
      </c>
      <c r="O11" s="362">
        <v>1</v>
      </c>
      <c r="P11" s="362">
        <v>1</v>
      </c>
      <c r="Q11" s="362">
        <v>1</v>
      </c>
      <c r="R11" s="362" t="s">
        <v>34</v>
      </c>
      <c r="S11" s="362" t="s">
        <v>34</v>
      </c>
      <c r="T11" s="362" t="s">
        <v>34</v>
      </c>
      <c r="U11" s="362" t="s">
        <v>34</v>
      </c>
      <c r="V11" s="21"/>
    </row>
    <row r="12" spans="1:22">
      <c r="A12" s="12">
        <f t="shared" si="0"/>
        <v>1990</v>
      </c>
      <c r="B12" s="362" t="s">
        <v>34</v>
      </c>
      <c r="C12" s="362">
        <v>1.0009999999999999</v>
      </c>
      <c r="D12" s="362">
        <v>1</v>
      </c>
      <c r="E12" s="362">
        <v>0.999</v>
      </c>
      <c r="F12" s="362">
        <v>1.0009999999999999</v>
      </c>
      <c r="G12" s="362">
        <v>1</v>
      </c>
      <c r="H12" s="362">
        <v>1</v>
      </c>
      <c r="I12" s="362">
        <v>1</v>
      </c>
      <c r="J12" s="362">
        <v>1</v>
      </c>
      <c r="K12" s="362">
        <v>1</v>
      </c>
      <c r="L12" s="362">
        <v>1</v>
      </c>
      <c r="M12" s="362">
        <v>1.0009999999999999</v>
      </c>
      <c r="N12" s="362">
        <v>1</v>
      </c>
      <c r="O12" s="362">
        <v>1.0009999999999999</v>
      </c>
      <c r="P12" s="362">
        <v>1</v>
      </c>
      <c r="Q12" s="362" t="s">
        <v>34</v>
      </c>
      <c r="R12" s="362" t="s">
        <v>34</v>
      </c>
      <c r="S12" s="362" t="s">
        <v>34</v>
      </c>
      <c r="T12" s="362" t="s">
        <v>34</v>
      </c>
      <c r="U12" s="362" t="s">
        <v>34</v>
      </c>
      <c r="V12" s="21"/>
    </row>
    <row r="13" spans="1:22">
      <c r="A13" s="12">
        <f t="shared" si="0"/>
        <v>1991</v>
      </c>
      <c r="B13" s="362">
        <v>1</v>
      </c>
      <c r="C13" s="362">
        <v>1.0009999999999999</v>
      </c>
      <c r="D13" s="362">
        <v>1.0009999999999999</v>
      </c>
      <c r="E13" s="362">
        <v>1</v>
      </c>
      <c r="F13" s="362">
        <v>1</v>
      </c>
      <c r="G13" s="362">
        <v>1</v>
      </c>
      <c r="H13" s="362">
        <v>1</v>
      </c>
      <c r="I13" s="362">
        <v>1</v>
      </c>
      <c r="J13" s="362">
        <v>1</v>
      </c>
      <c r="K13" s="362">
        <v>1</v>
      </c>
      <c r="L13" s="362">
        <v>1</v>
      </c>
      <c r="M13" s="362">
        <v>1.0009999999999999</v>
      </c>
      <c r="N13" s="362">
        <v>1.0009999999999999</v>
      </c>
      <c r="O13" s="362">
        <v>1.0009999999999999</v>
      </c>
      <c r="P13" s="362" t="s">
        <v>34</v>
      </c>
      <c r="Q13" s="362" t="s">
        <v>34</v>
      </c>
      <c r="R13" s="362" t="s">
        <v>34</v>
      </c>
      <c r="S13" s="362" t="s">
        <v>34</v>
      </c>
      <c r="T13" s="362" t="s">
        <v>34</v>
      </c>
      <c r="U13" s="362" t="s">
        <v>34</v>
      </c>
      <c r="V13" s="21"/>
    </row>
    <row r="14" spans="1:22">
      <c r="A14" s="12">
        <f t="shared" si="0"/>
        <v>1992</v>
      </c>
      <c r="B14" s="362">
        <v>0.998</v>
      </c>
      <c r="C14" s="362">
        <v>1.0009999999999999</v>
      </c>
      <c r="D14" s="362">
        <v>1.0009999999999999</v>
      </c>
      <c r="E14" s="362">
        <v>1</v>
      </c>
      <c r="F14" s="362">
        <v>1.0009999999999999</v>
      </c>
      <c r="G14" s="362">
        <v>1.0009999999999999</v>
      </c>
      <c r="H14" s="362">
        <v>1</v>
      </c>
      <c r="I14" s="362">
        <v>1</v>
      </c>
      <c r="J14" s="362">
        <v>1</v>
      </c>
      <c r="K14" s="362">
        <v>1</v>
      </c>
      <c r="L14" s="362">
        <v>1.0009999999999999</v>
      </c>
      <c r="M14" s="362">
        <v>1.0009999999999999</v>
      </c>
      <c r="N14" s="362">
        <v>1</v>
      </c>
      <c r="O14" s="362" t="s">
        <v>34</v>
      </c>
      <c r="P14" s="362" t="s">
        <v>34</v>
      </c>
      <c r="Q14" s="362" t="s">
        <v>34</v>
      </c>
      <c r="R14" s="362" t="s">
        <v>34</v>
      </c>
      <c r="S14" s="362" t="s">
        <v>34</v>
      </c>
      <c r="T14" s="362" t="s">
        <v>34</v>
      </c>
      <c r="U14" s="362" t="s">
        <v>34</v>
      </c>
    </row>
    <row r="15" spans="1:22" ht="12.75" customHeight="1">
      <c r="A15" s="12">
        <f t="shared" si="0"/>
        <v>1993</v>
      </c>
      <c r="B15" s="362">
        <v>0.999</v>
      </c>
      <c r="C15" s="362">
        <v>1.0009999999999999</v>
      </c>
      <c r="D15" s="362">
        <v>1.0009999999999999</v>
      </c>
      <c r="E15" s="362">
        <v>1.0009999999999999</v>
      </c>
      <c r="F15" s="362">
        <v>1.0009999999999999</v>
      </c>
      <c r="G15" s="362">
        <v>1</v>
      </c>
      <c r="H15" s="362">
        <v>1</v>
      </c>
      <c r="I15" s="362">
        <v>1</v>
      </c>
      <c r="J15" s="362">
        <v>1</v>
      </c>
      <c r="K15" s="362">
        <v>1.0009999999999999</v>
      </c>
      <c r="L15" s="362">
        <v>1</v>
      </c>
      <c r="M15" s="362">
        <v>1.0009999999999999</v>
      </c>
      <c r="N15" s="362" t="s">
        <v>34</v>
      </c>
      <c r="O15" s="362" t="s">
        <v>34</v>
      </c>
      <c r="P15" s="362" t="s">
        <v>34</v>
      </c>
      <c r="Q15" s="362" t="s">
        <v>34</v>
      </c>
      <c r="R15" s="362" t="s">
        <v>34</v>
      </c>
      <c r="S15" s="362" t="s">
        <v>34</v>
      </c>
      <c r="T15" s="362" t="s">
        <v>34</v>
      </c>
      <c r="U15" s="362" t="s">
        <v>34</v>
      </c>
    </row>
    <row r="16" spans="1:22" ht="12.75" customHeight="1">
      <c r="A16" s="12">
        <f t="shared" si="0"/>
        <v>1994</v>
      </c>
      <c r="B16" s="362">
        <v>1.0009999999999999</v>
      </c>
      <c r="C16" s="362">
        <v>1.0009999999999999</v>
      </c>
      <c r="D16" s="362">
        <v>1.002</v>
      </c>
      <c r="E16" s="362">
        <v>1</v>
      </c>
      <c r="F16" s="362">
        <v>1.0009999999999999</v>
      </c>
      <c r="G16" s="362">
        <v>1.0009999999999999</v>
      </c>
      <c r="H16" s="362">
        <v>0.999</v>
      </c>
      <c r="I16" s="362">
        <v>1.0009999999999999</v>
      </c>
      <c r="J16" s="362">
        <v>1.0009999999999999</v>
      </c>
      <c r="K16" s="362">
        <v>1.0009999999999999</v>
      </c>
      <c r="L16" s="362">
        <v>1</v>
      </c>
      <c r="M16" s="362" t="s">
        <v>34</v>
      </c>
      <c r="N16" s="362" t="s">
        <v>34</v>
      </c>
      <c r="O16" s="362" t="s">
        <v>34</v>
      </c>
      <c r="P16" s="362" t="s">
        <v>34</v>
      </c>
      <c r="Q16" s="362" t="s">
        <v>34</v>
      </c>
      <c r="R16" s="362" t="s">
        <v>34</v>
      </c>
      <c r="S16" s="362" t="s">
        <v>34</v>
      </c>
      <c r="T16" s="362" t="s">
        <v>34</v>
      </c>
      <c r="U16" s="362" t="s">
        <v>34</v>
      </c>
    </row>
    <row r="17" spans="1:22" ht="12.75" customHeight="1">
      <c r="A17" s="12">
        <f t="shared" si="0"/>
        <v>1995</v>
      </c>
      <c r="B17" s="362">
        <v>1.0029999999999999</v>
      </c>
      <c r="C17" s="362">
        <v>1.0009999999999999</v>
      </c>
      <c r="D17" s="362">
        <v>0.998</v>
      </c>
      <c r="E17" s="362">
        <v>1.0009999999999999</v>
      </c>
      <c r="F17" s="362">
        <v>1</v>
      </c>
      <c r="G17" s="362">
        <v>1.0009999999999999</v>
      </c>
      <c r="H17" s="362">
        <v>1</v>
      </c>
      <c r="I17" s="362">
        <v>1.0009999999999999</v>
      </c>
      <c r="J17" s="362">
        <v>1.0009999999999999</v>
      </c>
      <c r="K17" s="362">
        <v>1</v>
      </c>
      <c r="L17" s="362" t="s">
        <v>34</v>
      </c>
      <c r="M17" s="362" t="s">
        <v>34</v>
      </c>
      <c r="N17" s="362" t="s">
        <v>34</v>
      </c>
      <c r="O17" s="362" t="s">
        <v>34</v>
      </c>
      <c r="P17" s="362" t="s">
        <v>34</v>
      </c>
      <c r="Q17" s="362" t="s">
        <v>34</v>
      </c>
      <c r="R17" s="362" t="s">
        <v>34</v>
      </c>
      <c r="S17" s="362" t="s">
        <v>34</v>
      </c>
      <c r="T17" s="362" t="s">
        <v>34</v>
      </c>
      <c r="U17" s="362" t="s">
        <v>34</v>
      </c>
    </row>
    <row r="18" spans="1:22" ht="12.75" customHeight="1">
      <c r="A18" s="12">
        <f t="shared" si="0"/>
        <v>1996</v>
      </c>
      <c r="B18" s="362">
        <v>1.0029999999999999</v>
      </c>
      <c r="C18" s="362">
        <v>1</v>
      </c>
      <c r="D18" s="362">
        <v>1</v>
      </c>
      <c r="E18" s="362">
        <v>1</v>
      </c>
      <c r="F18" s="362">
        <v>1.0009999999999999</v>
      </c>
      <c r="G18" s="362">
        <v>1.0009999999999999</v>
      </c>
      <c r="H18" s="362">
        <v>1.002</v>
      </c>
      <c r="I18" s="362">
        <v>1.0009999999999999</v>
      </c>
      <c r="J18" s="362">
        <v>1.0009999999999999</v>
      </c>
      <c r="K18" s="362" t="s">
        <v>34</v>
      </c>
      <c r="L18" s="362" t="s">
        <v>34</v>
      </c>
      <c r="M18" s="362" t="s">
        <v>34</v>
      </c>
      <c r="N18" s="362" t="s">
        <v>34</v>
      </c>
      <c r="O18" s="362" t="s">
        <v>34</v>
      </c>
      <c r="P18" s="362" t="s">
        <v>34</v>
      </c>
      <c r="Q18" s="362" t="s">
        <v>34</v>
      </c>
      <c r="R18" s="362" t="s">
        <v>34</v>
      </c>
      <c r="S18" s="362" t="s">
        <v>34</v>
      </c>
      <c r="T18" s="362" t="s">
        <v>34</v>
      </c>
      <c r="U18" s="362" t="s">
        <v>34</v>
      </c>
    </row>
    <row r="19" spans="1:22" ht="12.75" customHeight="1">
      <c r="A19" s="12">
        <f t="shared" si="0"/>
        <v>1997</v>
      </c>
      <c r="B19" s="362">
        <v>1</v>
      </c>
      <c r="C19" s="362">
        <v>1</v>
      </c>
      <c r="D19" s="362">
        <v>1</v>
      </c>
      <c r="E19" s="362">
        <v>1</v>
      </c>
      <c r="F19" s="362">
        <v>1.0009999999999999</v>
      </c>
      <c r="G19" s="362">
        <v>1.0009999999999999</v>
      </c>
      <c r="H19" s="362">
        <v>1.0009999999999999</v>
      </c>
      <c r="I19" s="362">
        <v>1</v>
      </c>
      <c r="J19" s="362" t="s">
        <v>34</v>
      </c>
      <c r="K19" s="362" t="s">
        <v>34</v>
      </c>
      <c r="L19" s="362" t="s">
        <v>34</v>
      </c>
      <c r="M19" s="362" t="s">
        <v>34</v>
      </c>
      <c r="N19" s="362" t="s">
        <v>34</v>
      </c>
      <c r="O19" s="362" t="s">
        <v>34</v>
      </c>
      <c r="P19" s="362" t="s">
        <v>34</v>
      </c>
      <c r="Q19" s="362" t="s">
        <v>34</v>
      </c>
      <c r="R19" s="362" t="s">
        <v>34</v>
      </c>
      <c r="S19" s="362" t="s">
        <v>34</v>
      </c>
      <c r="T19" s="362" t="s">
        <v>34</v>
      </c>
      <c r="U19" s="362" t="s">
        <v>34</v>
      </c>
    </row>
    <row r="20" spans="1:22" ht="12.75" customHeight="1">
      <c r="A20" s="12">
        <f t="shared" si="0"/>
        <v>1998</v>
      </c>
      <c r="B20" s="362">
        <v>1.0029999999999999</v>
      </c>
      <c r="C20" s="362">
        <v>1.0009999999999999</v>
      </c>
      <c r="D20" s="362">
        <v>1.0009999999999999</v>
      </c>
      <c r="E20" s="362">
        <v>1</v>
      </c>
      <c r="F20" s="362">
        <v>1.0009999999999999</v>
      </c>
      <c r="G20" s="362">
        <v>1.0009999999999999</v>
      </c>
      <c r="H20" s="362">
        <v>1.0009999999999999</v>
      </c>
      <c r="I20" s="362" t="s">
        <v>34</v>
      </c>
      <c r="J20" s="362" t="s">
        <v>34</v>
      </c>
      <c r="K20" s="362" t="s">
        <v>34</v>
      </c>
      <c r="L20" s="362" t="s">
        <v>34</v>
      </c>
      <c r="M20" s="362" t="s">
        <v>34</v>
      </c>
      <c r="N20" s="362" t="s">
        <v>34</v>
      </c>
      <c r="O20" s="362" t="s">
        <v>34</v>
      </c>
      <c r="P20" s="362" t="s">
        <v>34</v>
      </c>
      <c r="Q20" s="362" t="s">
        <v>34</v>
      </c>
      <c r="R20" s="362" t="s">
        <v>34</v>
      </c>
      <c r="S20" s="362" t="s">
        <v>34</v>
      </c>
      <c r="T20" s="362" t="s">
        <v>34</v>
      </c>
      <c r="U20" s="362" t="s">
        <v>34</v>
      </c>
    </row>
    <row r="21" spans="1:22" ht="12.75" customHeight="1">
      <c r="A21" s="12">
        <f t="shared" si="0"/>
        <v>1999</v>
      </c>
      <c r="B21" s="362">
        <v>1</v>
      </c>
      <c r="C21" s="362">
        <v>1</v>
      </c>
      <c r="D21" s="362">
        <v>1.002</v>
      </c>
      <c r="E21" s="362">
        <v>1.002</v>
      </c>
      <c r="F21" s="362">
        <v>1</v>
      </c>
      <c r="G21" s="362">
        <v>1</v>
      </c>
      <c r="H21" s="362" t="s">
        <v>34</v>
      </c>
      <c r="I21" s="362" t="s">
        <v>34</v>
      </c>
      <c r="J21" s="362" t="s">
        <v>34</v>
      </c>
      <c r="K21" s="362" t="s">
        <v>34</v>
      </c>
      <c r="L21" s="362" t="s">
        <v>34</v>
      </c>
      <c r="M21" s="362" t="s">
        <v>34</v>
      </c>
      <c r="N21" s="362" t="s">
        <v>34</v>
      </c>
      <c r="O21" s="362" t="s">
        <v>34</v>
      </c>
      <c r="P21" s="362" t="s">
        <v>34</v>
      </c>
      <c r="Q21" s="362" t="s">
        <v>34</v>
      </c>
      <c r="R21" s="362" t="s">
        <v>34</v>
      </c>
      <c r="S21" s="362" t="s">
        <v>34</v>
      </c>
      <c r="T21" s="362" t="s">
        <v>34</v>
      </c>
      <c r="U21" s="362" t="s">
        <v>34</v>
      </c>
    </row>
    <row r="22" spans="1:22" ht="12.75" customHeight="1">
      <c r="A22" s="12">
        <f t="shared" si="0"/>
        <v>2000</v>
      </c>
      <c r="B22" s="362">
        <v>1.002</v>
      </c>
      <c r="C22" s="362">
        <v>1.0009999999999999</v>
      </c>
      <c r="D22" s="362">
        <v>1.0009999999999999</v>
      </c>
      <c r="E22" s="362">
        <v>1.002</v>
      </c>
      <c r="F22" s="362">
        <v>1</v>
      </c>
      <c r="G22" s="362" t="s">
        <v>34</v>
      </c>
      <c r="H22" s="362" t="s">
        <v>34</v>
      </c>
      <c r="I22" s="362" t="s">
        <v>34</v>
      </c>
      <c r="J22" s="362" t="s">
        <v>34</v>
      </c>
      <c r="K22" s="362" t="s">
        <v>34</v>
      </c>
      <c r="L22" s="362" t="s">
        <v>34</v>
      </c>
      <c r="M22" s="362" t="s">
        <v>34</v>
      </c>
      <c r="N22" s="362" t="s">
        <v>34</v>
      </c>
      <c r="O22" s="362" t="s">
        <v>34</v>
      </c>
      <c r="P22" s="362" t="s">
        <v>34</v>
      </c>
      <c r="Q22" s="362" t="s">
        <v>34</v>
      </c>
      <c r="R22" s="362" t="s">
        <v>34</v>
      </c>
      <c r="S22" s="362" t="s">
        <v>34</v>
      </c>
      <c r="T22" s="362" t="s">
        <v>34</v>
      </c>
      <c r="U22" s="362" t="s">
        <v>34</v>
      </c>
    </row>
    <row r="23" spans="1:22" ht="12.75" customHeight="1">
      <c r="A23" s="12">
        <f t="shared" si="0"/>
        <v>2001</v>
      </c>
      <c r="B23" s="362">
        <v>1.0009999999999999</v>
      </c>
      <c r="C23" s="362">
        <v>1.002</v>
      </c>
      <c r="D23" s="362">
        <v>1.0009999999999999</v>
      </c>
      <c r="E23" s="362">
        <v>1.0009999999999999</v>
      </c>
      <c r="F23" s="362" t="s">
        <v>34</v>
      </c>
      <c r="G23" s="362" t="s">
        <v>34</v>
      </c>
      <c r="H23" s="362" t="s">
        <v>34</v>
      </c>
      <c r="I23" s="362" t="s">
        <v>34</v>
      </c>
      <c r="J23" s="362" t="s">
        <v>34</v>
      </c>
      <c r="K23" s="362" t="s">
        <v>34</v>
      </c>
      <c r="L23" s="362" t="s">
        <v>34</v>
      </c>
      <c r="M23" s="362" t="s">
        <v>34</v>
      </c>
      <c r="N23" s="362" t="s">
        <v>34</v>
      </c>
      <c r="O23" s="362" t="s">
        <v>34</v>
      </c>
      <c r="P23" s="362" t="s">
        <v>34</v>
      </c>
      <c r="Q23" s="362" t="s">
        <v>34</v>
      </c>
      <c r="R23" s="362" t="s">
        <v>34</v>
      </c>
      <c r="S23" s="362" t="s">
        <v>34</v>
      </c>
      <c r="T23" s="362" t="s">
        <v>34</v>
      </c>
      <c r="U23" s="362" t="s">
        <v>34</v>
      </c>
    </row>
    <row r="24" spans="1:22" ht="12.75" customHeight="1">
      <c r="A24" s="12">
        <f t="shared" si="0"/>
        <v>2002</v>
      </c>
      <c r="B24" s="362">
        <v>1.0009999999999999</v>
      </c>
      <c r="C24" s="362">
        <v>1.0029999999999999</v>
      </c>
      <c r="D24" s="362">
        <v>1.0009999999999999</v>
      </c>
      <c r="E24" s="362" t="s">
        <v>34</v>
      </c>
      <c r="F24" s="362" t="s">
        <v>34</v>
      </c>
      <c r="G24" s="362" t="s">
        <v>34</v>
      </c>
      <c r="H24" s="362" t="s">
        <v>34</v>
      </c>
      <c r="I24" s="362" t="s">
        <v>34</v>
      </c>
      <c r="J24" s="362" t="s">
        <v>34</v>
      </c>
      <c r="K24" s="362" t="s">
        <v>34</v>
      </c>
      <c r="L24" s="362" t="s">
        <v>34</v>
      </c>
      <c r="M24" s="362" t="s">
        <v>34</v>
      </c>
      <c r="N24" s="362" t="s">
        <v>34</v>
      </c>
      <c r="O24" s="362" t="s">
        <v>34</v>
      </c>
      <c r="P24" s="362" t="s">
        <v>34</v>
      </c>
      <c r="Q24" s="362" t="s">
        <v>34</v>
      </c>
      <c r="R24" s="362" t="s">
        <v>34</v>
      </c>
      <c r="S24" s="362" t="s">
        <v>34</v>
      </c>
      <c r="T24" s="362" t="s">
        <v>34</v>
      </c>
      <c r="U24" s="362" t="s">
        <v>34</v>
      </c>
    </row>
    <row r="25" spans="1:22" ht="12.75" customHeight="1">
      <c r="A25" s="12">
        <f t="shared" si="0"/>
        <v>2003</v>
      </c>
      <c r="B25" s="362">
        <v>1.002</v>
      </c>
      <c r="C25" s="362">
        <v>1.002</v>
      </c>
      <c r="D25" s="362" t="s">
        <v>34</v>
      </c>
      <c r="E25" s="362" t="s">
        <v>34</v>
      </c>
      <c r="F25" s="362" t="s">
        <v>34</v>
      </c>
      <c r="G25" s="362" t="s">
        <v>34</v>
      </c>
      <c r="H25" s="362" t="s">
        <v>34</v>
      </c>
      <c r="I25" s="362" t="s">
        <v>34</v>
      </c>
      <c r="J25" s="362" t="s">
        <v>34</v>
      </c>
      <c r="K25" s="362" t="s">
        <v>34</v>
      </c>
      <c r="L25" s="362" t="s">
        <v>34</v>
      </c>
      <c r="M25" s="362" t="s">
        <v>34</v>
      </c>
      <c r="N25" s="362" t="s">
        <v>34</v>
      </c>
      <c r="O25" s="362" t="s">
        <v>34</v>
      </c>
      <c r="P25" s="362" t="s">
        <v>34</v>
      </c>
      <c r="Q25" s="362" t="s">
        <v>34</v>
      </c>
      <c r="R25" s="362" t="s">
        <v>34</v>
      </c>
      <c r="S25" s="362" t="s">
        <v>34</v>
      </c>
      <c r="T25" s="362" t="s">
        <v>34</v>
      </c>
      <c r="U25" s="362" t="s">
        <v>34</v>
      </c>
    </row>
    <row r="26" spans="1:22" ht="12.75" customHeight="1">
      <c r="A26" s="12">
        <f>'Exhibit 2.1.1'!A13</f>
        <v>2004</v>
      </c>
      <c r="B26" s="362">
        <v>1.0009999999999999</v>
      </c>
      <c r="C26" s="362" t="s">
        <v>34</v>
      </c>
      <c r="D26" s="362" t="s">
        <v>34</v>
      </c>
      <c r="E26" s="362" t="s">
        <v>34</v>
      </c>
      <c r="F26" s="362" t="s">
        <v>34</v>
      </c>
      <c r="G26" s="362" t="s">
        <v>34</v>
      </c>
      <c r="H26" s="362" t="s">
        <v>34</v>
      </c>
      <c r="I26" s="362" t="s">
        <v>34</v>
      </c>
      <c r="J26" s="362" t="s">
        <v>34</v>
      </c>
      <c r="K26" s="362" t="s">
        <v>34</v>
      </c>
      <c r="L26" s="362" t="s">
        <v>34</v>
      </c>
      <c r="M26" s="362" t="s">
        <v>34</v>
      </c>
      <c r="N26" s="362" t="s">
        <v>34</v>
      </c>
      <c r="O26" s="362" t="s">
        <v>34</v>
      </c>
      <c r="P26" s="362" t="s">
        <v>34</v>
      </c>
      <c r="Q26" s="362" t="s">
        <v>34</v>
      </c>
      <c r="R26" s="362" t="s">
        <v>34</v>
      </c>
      <c r="S26" s="362" t="s">
        <v>34</v>
      </c>
      <c r="T26" s="362" t="s">
        <v>34</v>
      </c>
      <c r="U26" s="362" t="s">
        <v>34</v>
      </c>
    </row>
    <row r="27" spans="1:22">
      <c r="A27" s="120"/>
      <c r="B27" s="13"/>
      <c r="C27" s="13"/>
      <c r="D27" s="13"/>
      <c r="E27" s="13"/>
      <c r="F27" s="13"/>
      <c r="G27" s="13"/>
      <c r="H27" s="13"/>
      <c r="I27" s="13"/>
      <c r="J27" s="13"/>
      <c r="K27" s="13"/>
      <c r="L27" s="13"/>
      <c r="M27" s="13"/>
      <c r="N27" s="13"/>
      <c r="O27" s="13"/>
      <c r="P27" s="13"/>
      <c r="R27" s="13"/>
      <c r="S27" s="13"/>
      <c r="T27" s="13"/>
      <c r="U27" s="13"/>
    </row>
    <row r="28" spans="1:22">
      <c r="A28" s="306"/>
      <c r="B28" s="13"/>
      <c r="C28" s="13"/>
      <c r="D28" s="13"/>
      <c r="E28" s="13"/>
      <c r="F28" s="13"/>
      <c r="G28" s="13"/>
      <c r="H28" s="13"/>
      <c r="I28" s="13"/>
      <c r="J28" s="13"/>
      <c r="K28" s="13"/>
      <c r="L28" s="13"/>
      <c r="M28" s="13"/>
      <c r="N28" s="13"/>
      <c r="O28" s="13"/>
      <c r="P28" s="13"/>
      <c r="R28" s="13"/>
      <c r="S28" s="13"/>
      <c r="T28" s="13"/>
      <c r="U28" s="13"/>
    </row>
    <row r="29" spans="1:22">
      <c r="A29" s="14" t="s">
        <v>20</v>
      </c>
      <c r="B29" s="374">
        <f>AVERAGE(B21:B26)</f>
        <v>1.0011666666666665</v>
      </c>
      <c r="C29" s="374">
        <f>AVERAGE(C20:C25)</f>
        <v>1.0014999999999998</v>
      </c>
      <c r="D29" s="374">
        <f>AVERAGE(D19:D24)</f>
        <v>1.0009999999999997</v>
      </c>
      <c r="E29" s="374">
        <f>AVERAGE(E18:E23)</f>
        <v>1.0008333333333332</v>
      </c>
      <c r="F29" s="374">
        <f>AVERAGE(F17:F22)</f>
        <v>1.0004999999999999</v>
      </c>
      <c r="G29" s="374">
        <f>AVERAGE(G16:G21)</f>
        <v>1.0008333333333332</v>
      </c>
      <c r="H29" s="374">
        <f>AVERAGE(H15:H20)</f>
        <v>1.0004999999999999</v>
      </c>
      <c r="I29" s="374">
        <f>AVERAGE(I14:I19)</f>
        <v>1.0004999999999999</v>
      </c>
      <c r="J29" s="374">
        <f>AVERAGE(J13:J18)</f>
        <v>1.0004999999999997</v>
      </c>
      <c r="K29" s="374">
        <f>AVERAGE(K12:K17)</f>
        <v>1.0003333333333331</v>
      </c>
      <c r="L29" s="374">
        <f>AVERAGE(L11:L16)</f>
        <v>1.0001666666666666</v>
      </c>
      <c r="M29" s="374">
        <f>AVERAGE(M10:M15)</f>
        <v>1.0006666666666666</v>
      </c>
      <c r="N29" s="374">
        <f>AVERAGE(N9:N14)</f>
        <v>1.0003333333333331</v>
      </c>
      <c r="O29" s="374">
        <f>AVERAGE(O8:O13)</f>
        <v>1.0004999999999997</v>
      </c>
      <c r="P29" s="374">
        <f>AVERAGE(P7:P12)</f>
        <v>1.0003333333333333</v>
      </c>
      <c r="Q29" s="374">
        <f>AVERAGE(Q6:Q11)</f>
        <v>1.0001666666666666</v>
      </c>
      <c r="R29" s="374">
        <f>AVERAGE(R5:R10)</f>
        <v>1.0003333333333331</v>
      </c>
      <c r="S29" s="374">
        <f>AVERAGE(S5:S9)</f>
        <v>1.0005999999999999</v>
      </c>
      <c r="T29" s="374">
        <f>AVERAGE(T5:T8)</f>
        <v>1.0004999999999999</v>
      </c>
      <c r="U29" s="374">
        <f>AVERAGE(U5:U7)</f>
        <v>1.0003333333333333</v>
      </c>
    </row>
    <row r="30" spans="1:22">
      <c r="A30" s="14" t="s">
        <v>24</v>
      </c>
      <c r="B30" s="13">
        <f t="shared" ref="B30:P30" si="1">C30*B29</f>
        <v>1.014089619568241</v>
      </c>
      <c r="C30" s="13">
        <f t="shared" si="1"/>
        <v>1.0129078936922669</v>
      </c>
      <c r="D30" s="13">
        <f t="shared" si="1"/>
        <v>1.0113908074810454</v>
      </c>
      <c r="E30" s="13">
        <f t="shared" si="1"/>
        <v>1.0103804270539918</v>
      </c>
      <c r="F30" s="13">
        <f t="shared" si="1"/>
        <v>1.0095391444336306</v>
      </c>
      <c r="G30" s="13">
        <f t="shared" si="1"/>
        <v>1.0090346271200705</v>
      </c>
      <c r="H30" s="13">
        <f t="shared" si="1"/>
        <v>1.008194465065849</v>
      </c>
      <c r="I30" s="13">
        <f t="shared" si="1"/>
        <v>1.007690619755971</v>
      </c>
      <c r="J30" s="13">
        <f t="shared" si="1"/>
        <v>1.0071870262428495</v>
      </c>
      <c r="K30" s="13">
        <f t="shared" si="1"/>
        <v>1.0066836844006495</v>
      </c>
      <c r="L30" s="13">
        <f t="shared" si="1"/>
        <v>1.0063482349889867</v>
      </c>
      <c r="M30" s="13">
        <f t="shared" si="1"/>
        <v>1.0061805382326146</v>
      </c>
      <c r="N30" s="13">
        <f t="shared" si="1"/>
        <v>1.0055101981005476</v>
      </c>
      <c r="O30" s="13">
        <f t="shared" si="1"/>
        <v>1.005175139720641</v>
      </c>
      <c r="P30" s="13">
        <f t="shared" si="1"/>
        <v>1.0046728033189818</v>
      </c>
      <c r="Q30" s="13">
        <f t="shared" ref="Q30" si="2">R30*Q29</f>
        <v>1.004338023977656</v>
      </c>
      <c r="R30" s="13">
        <f t="shared" ref="R30" si="3">S30*R29</f>
        <v>1.0041706622006226</v>
      </c>
      <c r="S30" s="13">
        <f t="shared" ref="S30" si="4">T30*S29</f>
        <v>1.0038360501838948</v>
      </c>
      <c r="T30" s="13">
        <f t="shared" ref="T30" si="5">U30*T29</f>
        <v>1.0032341097180639</v>
      </c>
      <c r="U30" s="13">
        <f t="shared" ref="U30" si="6">V30*U29</f>
        <v>1.0027327433463908</v>
      </c>
      <c r="V30" s="362">
        <v>1.0023986104762321</v>
      </c>
    </row>
    <row r="31" spans="1:22">
      <c r="A31" s="120"/>
      <c r="B31" s="13"/>
      <c r="C31" s="13"/>
      <c r="D31" s="13"/>
      <c r="E31" s="13"/>
      <c r="F31" s="13"/>
      <c r="G31" s="13"/>
      <c r="H31" s="13"/>
      <c r="I31" s="13"/>
      <c r="J31" s="13"/>
      <c r="K31" s="13"/>
      <c r="L31" s="13"/>
      <c r="M31" s="13"/>
      <c r="N31" s="13"/>
      <c r="O31" s="13"/>
      <c r="P31" s="13"/>
      <c r="Q31" s="13"/>
      <c r="R31" s="13"/>
      <c r="S31" s="13"/>
      <c r="T31" s="13"/>
      <c r="U31" s="13"/>
    </row>
    <row r="32" spans="1:22" ht="15" customHeight="1">
      <c r="A32" s="9" t="s">
        <v>25</v>
      </c>
      <c r="B32" s="514" t="s">
        <v>509</v>
      </c>
      <c r="C32" s="514"/>
      <c r="D32" s="514"/>
      <c r="E32" s="514"/>
      <c r="F32" s="514"/>
      <c r="G32" s="514"/>
      <c r="H32" s="514"/>
      <c r="I32" s="514"/>
      <c r="J32" s="514"/>
      <c r="K32" s="514"/>
      <c r="L32" s="514"/>
      <c r="M32" s="514"/>
      <c r="N32" s="514"/>
      <c r="O32" s="514"/>
      <c r="P32" s="514"/>
      <c r="Q32" s="514"/>
      <c r="R32" s="514"/>
      <c r="S32" s="460"/>
      <c r="T32" s="497"/>
      <c r="U32" s="279"/>
    </row>
    <row r="33" spans="2:21" ht="15" customHeight="1">
      <c r="B33" s="515"/>
      <c r="C33" s="515"/>
      <c r="D33" s="515"/>
      <c r="E33" s="515"/>
      <c r="F33" s="515"/>
      <c r="G33" s="515"/>
      <c r="H33" s="515"/>
      <c r="I33" s="515"/>
      <c r="J33" s="515"/>
      <c r="K33" s="515"/>
      <c r="L33" s="515"/>
      <c r="M33" s="515"/>
      <c r="N33" s="515"/>
      <c r="O33" s="515"/>
      <c r="P33" s="515"/>
      <c r="Q33" s="515"/>
      <c r="R33" s="515"/>
      <c r="S33" s="461"/>
      <c r="T33" s="498"/>
      <c r="U33" s="280"/>
    </row>
  </sheetData>
  <mergeCells count="1">
    <mergeCell ref="B32:R33"/>
  </mergeCells>
  <printOptions horizontalCentered="1"/>
  <pageMargins left="0.7" right="0.7" top="0.75" bottom="0.75" header="0.3" footer="0.3"/>
  <pageSetup scale="73" orientation="landscape" blackAndWhite="1" r:id="rId1"/>
  <headerFooter scaleWithDoc="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M55"/>
  <sheetViews>
    <sheetView zoomScaleNormal="100" zoomScaleSheetLayoutView="85" workbookViewId="0"/>
  </sheetViews>
  <sheetFormatPr defaultColWidth="9.140625" defaultRowHeight="12.75"/>
  <cols>
    <col min="1" max="1" width="9.140625" style="108"/>
    <col min="2" max="2" width="5.85546875" style="108" customWidth="1"/>
    <col min="3" max="3" width="17.7109375" style="108" customWidth="1"/>
    <col min="4" max="4" width="5.85546875" style="108" customWidth="1"/>
    <col min="5" max="5" width="17.7109375" style="108" customWidth="1"/>
    <col min="6" max="6" width="5.85546875" style="108" customWidth="1"/>
    <col min="7" max="7" width="17.7109375" style="108" customWidth="1"/>
    <col min="8" max="8" width="5.85546875" style="108" customWidth="1"/>
    <col min="9" max="9" width="19.42578125" style="108" customWidth="1"/>
    <col min="10" max="10" width="21.5703125" style="108" customWidth="1"/>
    <col min="11" max="11" width="9.140625" style="108"/>
    <col min="12" max="12" width="21.5703125" style="108" customWidth="1"/>
    <col min="13" max="13" width="21.140625" style="108" customWidth="1"/>
    <col min="14" max="16384" width="9.140625" style="108"/>
  </cols>
  <sheetData>
    <row r="1" spans="1:11">
      <c r="A1" s="275" t="s">
        <v>215</v>
      </c>
      <c r="B1" s="241"/>
      <c r="C1" s="241"/>
      <c r="D1" s="241"/>
      <c r="E1" s="241"/>
      <c r="F1" s="241"/>
      <c r="G1" s="241"/>
      <c r="H1" s="241"/>
      <c r="I1" s="241"/>
      <c r="J1" s="124"/>
    </row>
    <row r="2" spans="1:11">
      <c r="A2" s="245" t="s">
        <v>228</v>
      </c>
      <c r="B2" s="241"/>
      <c r="C2" s="241"/>
      <c r="D2" s="241"/>
      <c r="E2" s="241"/>
      <c r="F2" s="241"/>
      <c r="G2" s="241"/>
      <c r="H2" s="241"/>
      <c r="I2" s="241"/>
      <c r="J2" s="121"/>
    </row>
    <row r="3" spans="1:11">
      <c r="A3" s="245" t="str">
        <f>'Exhibit 3.1'!$A$3</f>
        <v>Based on Experience as of December 31, 2021</v>
      </c>
      <c r="B3" s="241"/>
      <c r="C3" s="241"/>
      <c r="D3" s="241"/>
      <c r="E3" s="241"/>
      <c r="F3" s="241"/>
      <c r="G3" s="241"/>
      <c r="H3" s="241"/>
      <c r="I3" s="241"/>
      <c r="J3" s="121"/>
    </row>
    <row r="4" spans="1:11">
      <c r="A4" s="122"/>
      <c r="B4" s="122"/>
      <c r="C4" s="122"/>
      <c r="D4" s="122"/>
      <c r="E4" s="122"/>
      <c r="F4" s="122"/>
      <c r="G4" s="122"/>
      <c r="H4" s="122"/>
      <c r="I4" s="122"/>
      <c r="J4" s="122"/>
    </row>
    <row r="5" spans="1:11">
      <c r="A5" s="122"/>
      <c r="B5" s="122"/>
      <c r="C5" s="27" t="s">
        <v>45</v>
      </c>
      <c r="D5" s="27"/>
      <c r="E5" s="27" t="s">
        <v>46</v>
      </c>
      <c r="F5" s="27"/>
      <c r="G5" s="27" t="s">
        <v>47</v>
      </c>
      <c r="H5" s="27"/>
      <c r="I5" s="27" t="s">
        <v>48</v>
      </c>
      <c r="J5" s="122"/>
    </row>
    <row r="6" spans="1:11">
      <c r="A6" s="122"/>
      <c r="B6" s="122"/>
      <c r="C6" s="122"/>
      <c r="D6" s="122"/>
      <c r="E6" s="122"/>
      <c r="F6" s="69"/>
      <c r="G6" s="122"/>
      <c r="H6" s="122"/>
      <c r="I6" s="122" t="s">
        <v>229</v>
      </c>
      <c r="J6" s="229"/>
    </row>
    <row r="7" spans="1:11">
      <c r="A7" s="122" t="s">
        <v>54</v>
      </c>
      <c r="B7" s="122"/>
      <c r="C7" s="122" t="s">
        <v>230</v>
      </c>
      <c r="D7" s="62"/>
      <c r="E7" s="61" t="s">
        <v>231</v>
      </c>
      <c r="F7" s="62"/>
      <c r="G7" s="61" t="s">
        <v>220</v>
      </c>
      <c r="H7" s="62"/>
      <c r="I7" s="122" t="s">
        <v>221</v>
      </c>
      <c r="J7" s="229"/>
    </row>
    <row r="8" spans="1:11">
      <c r="A8" s="26" t="s">
        <v>8</v>
      </c>
      <c r="B8" s="26"/>
      <c r="C8" s="26" t="s">
        <v>340</v>
      </c>
      <c r="D8" s="26"/>
      <c r="E8" s="26" t="s">
        <v>343</v>
      </c>
      <c r="F8" s="26"/>
      <c r="G8" s="26" t="s">
        <v>342</v>
      </c>
      <c r="H8" s="26"/>
      <c r="I8" s="26" t="s">
        <v>344</v>
      </c>
      <c r="J8" s="26"/>
    </row>
    <row r="9" spans="1:11">
      <c r="A9" s="122"/>
      <c r="B9" s="122"/>
      <c r="C9" s="69"/>
      <c r="D9" s="122"/>
      <c r="E9" s="69"/>
      <c r="F9" s="122"/>
      <c r="G9" s="69"/>
      <c r="H9" s="122"/>
      <c r="I9" s="122" t="s">
        <v>223</v>
      </c>
      <c r="J9" s="122"/>
    </row>
    <row r="10" spans="1:11">
      <c r="A10" s="162">
        <f>+'Exhibit 7.1'!A10</f>
        <v>1987</v>
      </c>
      <c r="B10" s="30"/>
      <c r="C10" s="33">
        <f>+SUMIFS('Exhibit 3.2'!F:F,'Exhibit 3.2'!A:A,A10)</f>
        <v>0.28547655843584946</v>
      </c>
      <c r="D10" s="33"/>
      <c r="E10" s="32">
        <f>+SUMIFS('Exhibit 4.4'!I:I,'Exhibit 4.4'!A:A,A10)</f>
        <v>0.83604483575290989</v>
      </c>
      <c r="F10" s="33"/>
      <c r="G10" s="33">
        <f>+SUMIFS('Exhibit 5.2'!S:S,'Exhibit 5.2'!A:A,A10)</f>
        <v>1.9841804221775756</v>
      </c>
      <c r="H10" s="61"/>
      <c r="I10" s="33">
        <f>C10*E10/G10</f>
        <v>0.12028704634978285</v>
      </c>
      <c r="J10" s="30"/>
      <c r="K10" s="112"/>
    </row>
    <row r="11" spans="1:11">
      <c r="A11" s="162">
        <f>+'Exhibit 7.1'!A11</f>
        <v>1988</v>
      </c>
      <c r="B11" s="30"/>
      <c r="C11" s="33">
        <f>+SUMIFS('Exhibit 3.2'!F:F,'Exhibit 3.2'!A:A,A11)</f>
        <v>0.27987095847755306</v>
      </c>
      <c r="D11" s="33"/>
      <c r="E11" s="32">
        <f>+SUMIFS('Exhibit 4.4'!I:I,'Exhibit 4.4'!A:A,A11)</f>
        <v>0.80543818473305384</v>
      </c>
      <c r="F11" s="33"/>
      <c r="G11" s="33">
        <f>+SUMIFS('Exhibit 5.2'!S:S,'Exhibit 5.2'!A:A,A11)</f>
        <v>1.7387339362539649</v>
      </c>
      <c r="H11" s="61"/>
      <c r="I11" s="33">
        <f t="shared" ref="I11:I38" si="0">C11*E11/G11</f>
        <v>0.12964534254235369</v>
      </c>
      <c r="J11" s="30"/>
      <c r="K11" s="112"/>
    </row>
    <row r="12" spans="1:11">
      <c r="A12" s="162">
        <f>+'Exhibit 7.1'!A12</f>
        <v>1989</v>
      </c>
      <c r="B12" s="30"/>
      <c r="C12" s="33">
        <f>+SUMIFS('Exhibit 3.2'!F:F,'Exhibit 3.2'!A:A,A12)</f>
        <v>0.29860264131373049</v>
      </c>
      <c r="D12" s="33"/>
      <c r="E12" s="32">
        <f>+SUMIFS('Exhibit 4.4'!I:I,'Exhibit 4.4'!A:A,A12)</f>
        <v>0.78197882012917852</v>
      </c>
      <c r="F12" s="33"/>
      <c r="G12" s="33">
        <f>+SUMIFS('Exhibit 5.2'!S:S,'Exhibit 5.2'!A:A,A12)</f>
        <v>1.6724299739273834</v>
      </c>
      <c r="H12" s="61"/>
      <c r="I12" s="33">
        <f t="shared" si="0"/>
        <v>0.13961776862539407</v>
      </c>
      <c r="J12" s="30"/>
      <c r="K12" s="112"/>
    </row>
    <row r="13" spans="1:11">
      <c r="A13" s="162">
        <f>+'Exhibit 7.1'!A13</f>
        <v>1990</v>
      </c>
      <c r="B13" s="30"/>
      <c r="C13" s="33">
        <f>+SUMIFS('Exhibit 3.2'!F:F,'Exhibit 3.2'!A:A,A13)</f>
        <v>0.33822785215122259</v>
      </c>
      <c r="D13" s="33"/>
      <c r="E13" s="32">
        <f>+SUMIFS('Exhibit 4.4'!I:I,'Exhibit 4.4'!A:A,A13)</f>
        <v>0.63335587349934885</v>
      </c>
      <c r="F13" s="33"/>
      <c r="G13" s="33">
        <f>+SUMIFS('Exhibit 5.2'!S:S,'Exhibit 5.2'!A:A,A13)</f>
        <v>1.5547046959927624</v>
      </c>
      <c r="H13" s="61"/>
      <c r="I13" s="33">
        <f t="shared" si="0"/>
        <v>0.13778732211537839</v>
      </c>
      <c r="J13" s="30"/>
      <c r="K13" s="112"/>
    </row>
    <row r="14" spans="1:11">
      <c r="A14" s="162">
        <f>+'Exhibit 7.1'!A14</f>
        <v>1991</v>
      </c>
      <c r="B14" s="30"/>
      <c r="C14" s="33">
        <f>+SUMIFS('Exhibit 3.2'!F:F,'Exhibit 3.2'!A:A,A14)</f>
        <v>0.35520568199224134</v>
      </c>
      <c r="D14" s="33"/>
      <c r="E14" s="32">
        <f>+SUMIFS('Exhibit 4.4'!I:I,'Exhibit 4.4'!A:A,A14)</f>
        <v>0.54166344887211482</v>
      </c>
      <c r="F14" s="33"/>
      <c r="G14" s="33">
        <f>+SUMIFS('Exhibit 5.2'!S:S,'Exhibit 5.2'!A:A,A14)</f>
        <v>1.4072048595051614</v>
      </c>
      <c r="H14" s="61"/>
      <c r="I14" s="33">
        <f t="shared" si="0"/>
        <v>0.13672631491234799</v>
      </c>
      <c r="J14" s="30"/>
      <c r="K14" s="112"/>
    </row>
    <row r="15" spans="1:11">
      <c r="A15" s="162">
        <f>+'Exhibit 7.1'!A15</f>
        <v>1992</v>
      </c>
      <c r="B15" s="30"/>
      <c r="C15" s="33">
        <f>+SUMIFS('Exhibit 3.2'!F:F,'Exhibit 3.2'!A:A,A15)</f>
        <v>0.29490911560445643</v>
      </c>
      <c r="D15" s="33"/>
      <c r="E15" s="32">
        <f>+SUMIFS('Exhibit 4.4'!I:I,'Exhibit 4.4'!A:A,A15)</f>
        <v>0.5712559946611484</v>
      </c>
      <c r="F15" s="33"/>
      <c r="G15" s="33">
        <f>+SUMIFS('Exhibit 5.2'!S:S,'Exhibit 5.2'!A:A,A15)</f>
        <v>1.2795739947472322</v>
      </c>
      <c r="H15" s="61"/>
      <c r="I15" s="33">
        <f t="shared" si="0"/>
        <v>0.13165991248715767</v>
      </c>
      <c r="J15" s="30"/>
      <c r="K15" s="112"/>
    </row>
    <row r="16" spans="1:11">
      <c r="A16" s="162">
        <f>+'Exhibit 7.1'!A16</f>
        <v>1993</v>
      </c>
      <c r="B16" s="30"/>
      <c r="C16" s="33">
        <f>+SUMIFS('Exhibit 3.2'!F:F,'Exhibit 3.2'!A:A,A16)</f>
        <v>0.24307321832141268</v>
      </c>
      <c r="D16" s="33"/>
      <c r="E16" s="32">
        <f>+SUMIFS('Exhibit 4.4'!I:I,'Exhibit 4.4'!A:A,A16)</f>
        <v>0.68395444546639461</v>
      </c>
      <c r="F16" s="33"/>
      <c r="G16" s="33">
        <f>+SUMIFS('Exhibit 5.2'!S:S,'Exhibit 5.2'!A:A,A16)</f>
        <v>1.2377248508191354</v>
      </c>
      <c r="H16" s="61"/>
      <c r="I16" s="33">
        <f t="shared" si="0"/>
        <v>0.13431984348922749</v>
      </c>
      <c r="J16" s="30"/>
      <c r="K16" s="112"/>
    </row>
    <row r="17" spans="1:11">
      <c r="A17" s="162">
        <f>+'Exhibit 7.1'!A17</f>
        <v>1994</v>
      </c>
      <c r="B17" s="30"/>
      <c r="C17" s="33">
        <f>+SUMIFS('Exhibit 3.2'!F:F,'Exhibit 3.2'!A:A,A17)</f>
        <v>0.27933923618418649</v>
      </c>
      <c r="D17" s="33"/>
      <c r="E17" s="32">
        <f>+SUMIFS('Exhibit 4.4'!I:I,'Exhibit 4.4'!A:A,A17)</f>
        <v>0.71659326659836331</v>
      </c>
      <c r="F17" s="33"/>
      <c r="G17" s="33">
        <f>+SUMIFS('Exhibit 5.2'!S:S,'Exhibit 5.2'!A:A,A17)</f>
        <v>1.3996012849777215</v>
      </c>
      <c r="H17" s="61"/>
      <c r="I17" s="33">
        <f t="shared" si="0"/>
        <v>0.14302117173999609</v>
      </c>
      <c r="J17" s="30"/>
      <c r="K17" s="112"/>
    </row>
    <row r="18" spans="1:11">
      <c r="A18" s="162">
        <f>+'Exhibit 7.1'!A18</f>
        <v>1995</v>
      </c>
      <c r="B18" s="30"/>
      <c r="C18" s="33">
        <f>+SUMIFS('Exhibit 3.2'!F:F,'Exhibit 3.2'!A:A,A18)</f>
        <v>0.41361147711411528</v>
      </c>
      <c r="D18" s="33"/>
      <c r="E18" s="32">
        <f>+SUMIFS('Exhibit 4.4'!I:I,'Exhibit 4.4'!A:A,A18)</f>
        <v>0.7066681129519532</v>
      </c>
      <c r="F18" s="33"/>
      <c r="G18" s="33">
        <f>+SUMIFS('Exhibit 5.2'!S:S,'Exhibit 5.2'!A:A,A18)</f>
        <v>1.8381086666392128</v>
      </c>
      <c r="H18" s="61"/>
      <c r="I18" s="33">
        <f t="shared" si="0"/>
        <v>0.15901456063635014</v>
      </c>
      <c r="J18" s="30"/>
      <c r="K18" s="112"/>
    </row>
    <row r="19" spans="1:11">
      <c r="A19" s="162">
        <f>+'Exhibit 7.1'!A19</f>
        <v>1996</v>
      </c>
      <c r="B19" s="30"/>
      <c r="C19" s="33">
        <f>+SUMIFS('Exhibit 3.2'!F:F,'Exhibit 3.2'!A:A,A19)</f>
        <v>0.44417166870691532</v>
      </c>
      <c r="D19" s="33"/>
      <c r="E19" s="32">
        <f>+SUMIFS('Exhibit 4.4'!I:I,'Exhibit 4.4'!A:A,A19)</f>
        <v>0.69688386350829667</v>
      </c>
      <c r="F19" s="33"/>
      <c r="G19" s="33">
        <f>+SUMIFS('Exhibit 5.2'!S:S,'Exhibit 5.2'!A:A,A19)</f>
        <v>1.9010832559654547</v>
      </c>
      <c r="H19" s="61"/>
      <c r="I19" s="33">
        <f t="shared" si="0"/>
        <v>0.16282089044659234</v>
      </c>
      <c r="J19" s="30"/>
      <c r="K19" s="112"/>
    </row>
    <row r="20" spans="1:11">
      <c r="A20" s="162">
        <f>+'Exhibit 7.1'!A20</f>
        <v>1997</v>
      </c>
      <c r="B20" s="30"/>
      <c r="C20" s="33">
        <f>+SUMIFS('Exhibit 3.2'!F:F,'Exhibit 3.2'!A:A,A20)</f>
        <v>0.50002596920158537</v>
      </c>
      <c r="D20" s="33"/>
      <c r="E20" s="32">
        <f>+SUMIFS('Exhibit 4.4'!I:I,'Exhibit 4.4'!A:A,A20)</f>
        <v>0.69065826986374501</v>
      </c>
      <c r="F20" s="33"/>
      <c r="G20" s="33">
        <f>+SUMIFS('Exhibit 5.2'!S:S,'Exhibit 5.2'!A:A,A20)</f>
        <v>1.8461167770361626</v>
      </c>
      <c r="H20" s="61"/>
      <c r="I20" s="33">
        <f t="shared" si="0"/>
        <v>0.18706675280322441</v>
      </c>
      <c r="J20" s="30"/>
      <c r="K20" s="112"/>
    </row>
    <row r="21" spans="1:11">
      <c r="A21" s="162">
        <f>+'Exhibit 7.1'!A21</f>
        <v>1998</v>
      </c>
      <c r="B21" s="30"/>
      <c r="C21" s="33">
        <f>+SUMIFS('Exhibit 3.2'!F:F,'Exhibit 3.2'!A:A,A21)</f>
        <v>0.60008723495008676</v>
      </c>
      <c r="D21" s="33"/>
      <c r="E21" s="32">
        <f>+SUMIFS('Exhibit 4.4'!I:I,'Exhibit 4.4'!A:A,A21)</f>
        <v>0.60850519984330076</v>
      </c>
      <c r="F21" s="33"/>
      <c r="G21" s="33">
        <f>+SUMIFS('Exhibit 5.2'!S:S,'Exhibit 5.2'!A:A,A21)</f>
        <v>1.853845146701222</v>
      </c>
      <c r="H21" s="61"/>
      <c r="I21" s="33">
        <f t="shared" si="0"/>
        <v>0.19697233260096417</v>
      </c>
      <c r="J21" s="30"/>
      <c r="K21" s="112"/>
    </row>
    <row r="22" spans="1:11">
      <c r="A22" s="162">
        <f>+'Exhibit 7.1'!A22</f>
        <v>1999</v>
      </c>
      <c r="B22" s="30"/>
      <c r="C22" s="33">
        <f>+SUMIFS('Exhibit 3.2'!F:F,'Exhibit 3.2'!A:A,A22)</f>
        <v>0.66087220451592554</v>
      </c>
      <c r="D22" s="33"/>
      <c r="E22" s="32">
        <f>+SUMIFS('Exhibit 4.4'!I:I,'Exhibit 4.4'!A:A,A22)</f>
        <v>0.52723233534921876</v>
      </c>
      <c r="F22" s="33"/>
      <c r="G22" s="33">
        <f>+SUMIFS('Exhibit 5.2'!S:S,'Exhibit 5.2'!A:A,A22)</f>
        <v>1.7608171053654791</v>
      </c>
      <c r="H22" s="61"/>
      <c r="I22" s="33">
        <f t="shared" si="0"/>
        <v>0.19788153732297845</v>
      </c>
      <c r="J22" s="30"/>
      <c r="K22" s="112"/>
    </row>
    <row r="23" spans="1:11">
      <c r="A23" s="162">
        <f>+'Exhibit 7.1'!A23</f>
        <v>2000</v>
      </c>
      <c r="B23" s="30"/>
      <c r="C23" s="33">
        <f>+SUMIFS('Exhibit 3.2'!F:F,'Exhibit 3.2'!A:A,A23)</f>
        <v>0.60035083762406705</v>
      </c>
      <c r="D23" s="33"/>
      <c r="E23" s="32">
        <f>+SUMIFS('Exhibit 4.4'!I:I,'Exhibit 4.4'!A:A,A23)</f>
        <v>0.48450393345759363</v>
      </c>
      <c r="F23" s="33"/>
      <c r="G23" s="33">
        <f>+SUMIFS('Exhibit 5.2'!S:S,'Exhibit 5.2'!A:A,A23)</f>
        <v>1.3933632189616341</v>
      </c>
      <c r="H23" s="61"/>
      <c r="I23" s="33">
        <f t="shared" si="0"/>
        <v>0.20875557666879296</v>
      </c>
      <c r="J23" s="30"/>
      <c r="K23" s="112"/>
    </row>
    <row r="24" spans="1:11" s="110" customFormat="1">
      <c r="A24" s="39">
        <f>+'Exhibit 7.1'!A24</f>
        <v>2001</v>
      </c>
      <c r="B24" s="29"/>
      <c r="C24" s="33">
        <f>+SUMIFS('Exhibit 3.2'!F:F,'Exhibit 3.2'!A:A,A24)</f>
        <v>0.53649067642124093</v>
      </c>
      <c r="D24" s="32"/>
      <c r="E24" s="32">
        <f>+SUMIFS('Exhibit 4.4'!I:I,'Exhibit 4.4'!A:A,A24)</f>
        <v>0.44169728297532318</v>
      </c>
      <c r="F24" s="32"/>
      <c r="G24" s="32">
        <f>+SUMIFS('Exhibit 5.2'!S:S,'Exhibit 5.2'!A:A,A24)</f>
        <v>1.1913823014911169</v>
      </c>
      <c r="H24" s="113"/>
      <c r="I24" s="32">
        <f t="shared" si="0"/>
        <v>0.19890044851285063</v>
      </c>
      <c r="J24" s="30"/>
      <c r="K24" s="127"/>
    </row>
    <row r="25" spans="1:11" s="110" customFormat="1">
      <c r="A25" s="39">
        <f>+'Exhibit 7.1'!A25</f>
        <v>2002</v>
      </c>
      <c r="B25" s="29"/>
      <c r="C25" s="33">
        <f>+SUMIFS('Exhibit 3.2'!F:F,'Exhibit 3.2'!A:A,A25)</f>
        <v>0.41725122976824069</v>
      </c>
      <c r="D25" s="32"/>
      <c r="E25" s="32">
        <f>+SUMIFS('Exhibit 4.4'!I:I,'Exhibit 4.4'!A:A,A25)</f>
        <v>0.458725160949779</v>
      </c>
      <c r="F25" s="32"/>
      <c r="G25" s="32">
        <f>+SUMIFS('Exhibit 5.2'!S:S,'Exhibit 5.2'!A:A,A25)</f>
        <v>0.9180797219559711</v>
      </c>
      <c r="H25" s="113"/>
      <c r="I25" s="32">
        <f t="shared" si="0"/>
        <v>0.20848258920711538</v>
      </c>
      <c r="J25" s="30"/>
      <c r="K25" s="127"/>
    </row>
    <row r="26" spans="1:11" s="110" customFormat="1">
      <c r="A26" s="39">
        <f>+'Exhibit 7.1'!A26</f>
        <v>2003</v>
      </c>
      <c r="B26" s="29"/>
      <c r="C26" s="33">
        <f>+SUMIFS('Exhibit 3.2'!F:F,'Exhibit 3.2'!A:A,A26)</f>
        <v>0.26949724091091842</v>
      </c>
      <c r="D26" s="32"/>
      <c r="E26" s="32">
        <f>+SUMIFS('Exhibit 4.4'!I:I,'Exhibit 4.4'!A:A,A26)</f>
        <v>0.48126774198432476</v>
      </c>
      <c r="F26" s="32"/>
      <c r="G26" s="32">
        <f>+SUMIFS('Exhibit 5.2'!S:S,'Exhibit 5.2'!A:A,A26)</f>
        <v>0.65367329216663039</v>
      </c>
      <c r="H26" s="113"/>
      <c r="I26" s="32">
        <f t="shared" si="0"/>
        <v>0.19841766545839062</v>
      </c>
      <c r="J26" s="30"/>
      <c r="K26" s="127"/>
    </row>
    <row r="27" spans="1:11" s="110" customFormat="1">
      <c r="A27" s="39">
        <f>+'Exhibit 7.1'!A27</f>
        <v>2004</v>
      </c>
      <c r="B27" s="29"/>
      <c r="C27" s="33">
        <f>+SUMIFS('Exhibit 3.2'!F:F,'Exhibit 3.2'!A:A,A27)</f>
        <v>0.18402801940949096</v>
      </c>
      <c r="D27" s="32"/>
      <c r="E27" s="32">
        <f>+SUMIFS('Exhibit 4.4'!I:I,'Exhibit 4.4'!A:A,A27)</f>
        <v>0.727540048351209</v>
      </c>
      <c r="F27" s="32"/>
      <c r="G27" s="32">
        <f>+SUMIFS('Exhibit 5.2'!S:S,'Exhibit 5.2'!A:A,A27)</f>
        <v>0.58784480569662145</v>
      </c>
      <c r="H27" s="113"/>
      <c r="I27" s="32">
        <f t="shared" si="0"/>
        <v>0.22776037627906826</v>
      </c>
      <c r="J27" s="30"/>
      <c r="K27" s="127"/>
    </row>
    <row r="28" spans="1:11" s="110" customFormat="1">
      <c r="A28" s="39">
        <f>+'Exhibit 7.1'!A28</f>
        <v>2005</v>
      </c>
      <c r="B28" s="29"/>
      <c r="C28" s="32">
        <f>+SUMIFS('Exhibit 3.2'!F:F,'Exhibit 3.2'!A:A,A28)</f>
        <v>0.18146823647513746</v>
      </c>
      <c r="D28" s="32"/>
      <c r="E28" s="32">
        <f>+SUMIFS('Exhibit 4.4'!I:I,'Exhibit 4.4'!A:A,A28)</f>
        <v>0.84499424895610797</v>
      </c>
      <c r="F28" s="32"/>
      <c r="G28" s="32">
        <f>+SUMIFS('Exhibit 5.2'!S:S,'Exhibit 5.2'!A:A,A28)</f>
        <v>0.6505993851809333</v>
      </c>
      <c r="H28" s="113"/>
      <c r="I28" s="32">
        <f>C28*E28/G28</f>
        <v>0.23568976498041735</v>
      </c>
      <c r="J28" s="30"/>
      <c r="K28" s="127"/>
    </row>
    <row r="29" spans="1:11" s="110" customFormat="1">
      <c r="A29" s="39">
        <f>+'Exhibit 7.1'!A29</f>
        <v>2006</v>
      </c>
      <c r="B29" s="29"/>
      <c r="C29" s="32">
        <f>+SUMIFS('Exhibit 3.2'!F:F,'Exhibit 3.2'!A:A,A29)</f>
        <v>0.23521231237213214</v>
      </c>
      <c r="D29" s="32"/>
      <c r="E29" s="32">
        <f>+SUMIFS('Exhibit 4.4'!I:I,'Exhibit 4.4'!A:A,A29)</f>
        <v>0.88779031981823608</v>
      </c>
      <c r="F29" s="32"/>
      <c r="G29" s="32">
        <f>+SUMIFS('Exhibit 5.2'!S:S,'Exhibit 5.2'!A:A,A29)</f>
        <v>0.83658447278359704</v>
      </c>
      <c r="H29" s="113"/>
      <c r="I29" s="32">
        <f t="shared" si="0"/>
        <v>0.24960923949643782</v>
      </c>
      <c r="J29" s="30"/>
      <c r="K29" s="127"/>
    </row>
    <row r="30" spans="1:11" s="110" customFormat="1">
      <c r="A30" s="39">
        <f>+'Exhibit 7.1'!A30</f>
        <v>2007</v>
      </c>
      <c r="B30" s="29"/>
      <c r="C30" s="32">
        <f>+SUMIFS('Exhibit 3.2'!F:F,'Exhibit 3.2'!A:A,A30)</f>
        <v>0.33294366587500324</v>
      </c>
      <c r="D30" s="32"/>
      <c r="E30" s="32">
        <f>+SUMIFS('Exhibit 4.4'!I:I,'Exhibit 4.4'!A:A,A30)</f>
        <v>0.87122143065013191</v>
      </c>
      <c r="F30" s="32"/>
      <c r="G30" s="32">
        <f>+SUMIFS('Exhibit 5.2'!S:S,'Exhibit 5.2'!A:A,A30)</f>
        <v>1.069189319807698</v>
      </c>
      <c r="H30" s="113"/>
      <c r="I30" s="32">
        <f t="shared" si="0"/>
        <v>0.27129681482573237</v>
      </c>
      <c r="J30" s="30"/>
      <c r="K30" s="127"/>
    </row>
    <row r="31" spans="1:11" s="110" customFormat="1">
      <c r="A31" s="39">
        <f>+'Exhibit 7.1'!A31</f>
        <v>2008</v>
      </c>
      <c r="B31" s="29"/>
      <c r="C31" s="32">
        <f>+SUMIFS('Exhibit 3.2'!F:F,'Exhibit 3.2'!A:A,A31)</f>
        <v>0.41699010517857615</v>
      </c>
      <c r="D31" s="32"/>
      <c r="E31" s="32">
        <f>+SUMIFS('Exhibit 4.4'!I:I,'Exhibit 4.4'!A:A,A31)</f>
        <v>0.86515151722347394</v>
      </c>
      <c r="F31" s="32"/>
      <c r="G31" s="32">
        <f>+SUMIFS('Exhibit 5.2'!S:S,'Exhibit 5.2'!A:A,A31)</f>
        <v>1.29171023005175</v>
      </c>
      <c r="H31" s="113"/>
      <c r="I31" s="32">
        <f t="shared" si="0"/>
        <v>0.27928835258041423</v>
      </c>
      <c r="J31" s="30"/>
      <c r="K31" s="127"/>
    </row>
    <row r="32" spans="1:11" s="110" customFormat="1">
      <c r="A32" s="39">
        <f>+'Exhibit 7.1'!A32</f>
        <v>2009</v>
      </c>
      <c r="B32" s="29"/>
      <c r="C32" s="32">
        <f>+SUMIFS('Exhibit 3.2'!F:F,'Exhibit 3.2'!A:A,A32)</f>
        <v>0.49238412361933348</v>
      </c>
      <c r="D32" s="32"/>
      <c r="E32" s="32">
        <f>+SUMIFS('Exhibit 4.4'!I:I,'Exhibit 4.4'!A:A,A32)</f>
        <v>0.85317296874233162</v>
      </c>
      <c r="F32" s="32"/>
      <c r="G32" s="32">
        <f>+SUMIFS('Exhibit 5.2'!S:S,'Exhibit 5.2'!A:A,A32)</f>
        <v>1.3935529468799639</v>
      </c>
      <c r="H32" s="113"/>
      <c r="I32" s="32">
        <f t="shared" si="0"/>
        <v>0.30145164232936966</v>
      </c>
      <c r="J32" s="30"/>
      <c r="K32" s="127"/>
    </row>
    <row r="33" spans="1:13" s="110" customFormat="1">
      <c r="A33" s="238">
        <f>+'Exhibit 7.1'!A33</f>
        <v>2010</v>
      </c>
      <c r="B33" s="37"/>
      <c r="C33" s="37">
        <f>+SUMIFS('Exhibit 3.2'!F:F,'Exhibit 3.2'!A:A,A33)</f>
        <v>0.48803793121605354</v>
      </c>
      <c r="D33" s="37"/>
      <c r="E33" s="37">
        <f>+SUMIFS('Exhibit 4.4'!I:I,'Exhibit 4.4'!A:A,A33)</f>
        <v>0.85062110542605351</v>
      </c>
      <c r="F33" s="37"/>
      <c r="G33" s="37">
        <f>+SUMIFS('Exhibit 5.2'!S:S,'Exhibit 5.2'!A:A,A33)</f>
        <v>1.2669473074552406</v>
      </c>
      <c r="H33" s="238"/>
      <c r="I33" s="37">
        <f t="shared" si="0"/>
        <v>0.32766584853057107</v>
      </c>
      <c r="J33" s="33"/>
      <c r="K33" s="127"/>
    </row>
    <row r="34" spans="1:13" s="110" customFormat="1">
      <c r="A34" s="113">
        <f>+'Exhibit 7.1'!A34</f>
        <v>2011</v>
      </c>
      <c r="B34" s="32"/>
      <c r="C34" s="32">
        <f>+SUMIFS('Exhibit 3.2'!F:F,'Exhibit 3.2'!A:A,A34)</f>
        <v>0.42128362761800786</v>
      </c>
      <c r="D34" s="32"/>
      <c r="E34" s="32">
        <f>+SUMIFS('Exhibit 4.4'!I:I,'Exhibit 4.4'!A:A,A34)</f>
        <v>0.86538456612413128</v>
      </c>
      <c r="F34" s="32"/>
      <c r="G34" s="32">
        <f>+SUMIFS('Exhibit 5.2'!S:S,'Exhibit 5.2'!A:A,A34)</f>
        <v>1.1570267476998612</v>
      </c>
      <c r="H34" s="113"/>
      <c r="I34" s="32">
        <f t="shared" si="0"/>
        <v>0.31509414110449052</v>
      </c>
      <c r="J34" s="33"/>
      <c r="K34" s="127"/>
    </row>
    <row r="35" spans="1:13" s="110" customFormat="1">
      <c r="A35" s="113">
        <f>+'Exhibit 7.1'!A35</f>
        <v>2012</v>
      </c>
      <c r="B35" s="32"/>
      <c r="C35" s="32">
        <f>+SUMIFS('Exhibit 3.2'!F:F,'Exhibit 3.2'!A:A,A35)</f>
        <v>0.36567534300648696</v>
      </c>
      <c r="D35" s="32"/>
      <c r="E35" s="32">
        <f>+SUMIFS('Exhibit 4.4'!I:I,'Exhibit 4.4'!A:A,A35)</f>
        <v>0.9052565927518883</v>
      </c>
      <c r="F35" s="32"/>
      <c r="G35" s="32">
        <f>+SUMIFS('Exhibit 5.2'!S:S,'Exhibit 5.2'!A:A,A35)</f>
        <v>1.0296271741001861</v>
      </c>
      <c r="H35" s="113"/>
      <c r="I35" s="32">
        <f t="shared" si="0"/>
        <v>0.32150473821043513</v>
      </c>
      <c r="J35" s="33"/>
      <c r="K35" s="127"/>
    </row>
    <row r="36" spans="1:13" s="110" customFormat="1" ht="12.75" customHeight="1">
      <c r="A36" s="113">
        <f>+'Exhibit 7.1'!A36</f>
        <v>2013</v>
      </c>
      <c r="B36" s="32"/>
      <c r="C36" s="32">
        <f>+SUMIFS('Exhibit 3.2'!F:F,'Exhibit 3.2'!A:A,A36)</f>
        <v>0.30893563754275849</v>
      </c>
      <c r="D36" s="32"/>
      <c r="E36" s="32">
        <f>+SUMIFS('Exhibit 4.4'!I:I,'Exhibit 4.4'!A:A,A36)</f>
        <v>0.94528493229238919</v>
      </c>
      <c r="F36" s="32"/>
      <c r="G36" s="32">
        <f>+SUMIFS('Exhibit 5.2'!S:S,'Exhibit 5.2'!A:A,A36)</f>
        <v>0.89990638627593</v>
      </c>
      <c r="H36" s="113"/>
      <c r="I36" s="32">
        <f t="shared" si="0"/>
        <v>0.32451398019945754</v>
      </c>
      <c r="J36" s="33"/>
      <c r="K36" s="127"/>
    </row>
    <row r="37" spans="1:13" s="110" customFormat="1" ht="12.75" customHeight="1">
      <c r="A37" s="39">
        <f>+'Exhibit 7.1'!A37</f>
        <v>2014</v>
      </c>
      <c r="B37" s="32"/>
      <c r="C37" s="32">
        <f>+SUMIFS('Exhibit 3.2'!F:F,'Exhibit 3.2'!A:A,A37)</f>
        <v>0.28085370529797477</v>
      </c>
      <c r="D37" s="32"/>
      <c r="E37" s="32">
        <f>+SUMIFS('Exhibit 4.4'!I:I,'Exhibit 4.4'!A:A,A37)</f>
        <v>0.98974770495636388</v>
      </c>
      <c r="F37" s="32"/>
      <c r="G37" s="32">
        <f>+SUMIFS('Exhibit 5.2'!S:S,'Exhibit 5.2'!A:A,A37)</f>
        <v>0.8289410916825406</v>
      </c>
      <c r="H37" s="113"/>
      <c r="I37" s="32">
        <f t="shared" si="0"/>
        <v>0.33533662770046063</v>
      </c>
      <c r="J37" s="30"/>
      <c r="K37" s="127"/>
    </row>
    <row r="38" spans="1:13" ht="12.75" customHeight="1">
      <c r="A38" s="162">
        <f>+'Exhibit 7.1'!A38</f>
        <v>2015</v>
      </c>
      <c r="B38" s="33"/>
      <c r="C38" s="33">
        <f>+SUMIFS('Exhibit 3.2'!F:F,'Exhibit 3.2'!A:A,A38)</f>
        <v>0.26836758371595892</v>
      </c>
      <c r="D38" s="33"/>
      <c r="E38" s="32">
        <f>+SUMIFS('Exhibit 4.4'!I:I,'Exhibit 4.4'!A:A,A38)</f>
        <v>1.0089603275128638</v>
      </c>
      <c r="F38" s="33"/>
      <c r="G38" s="33">
        <f>+SUMIFS('Exhibit 5.2'!S:S,'Exhibit 5.2'!A:A,A38)</f>
        <v>0.79129880494306504</v>
      </c>
      <c r="H38" s="61"/>
      <c r="I38" s="33">
        <f t="shared" si="0"/>
        <v>0.34218710235430244</v>
      </c>
      <c r="J38" s="30"/>
    </row>
    <row r="39" spans="1:13" ht="12.75" customHeight="1">
      <c r="A39" s="61">
        <f>+'Exhibit 7.1'!A39</f>
        <v>2016</v>
      </c>
      <c r="B39" s="33"/>
      <c r="C39" s="33">
        <f>+SUMIFS('Exhibit 3.2'!F:F,'Exhibit 3.2'!A:A,A39)</f>
        <v>0.25226226291157716</v>
      </c>
      <c r="D39" s="33"/>
      <c r="E39" s="32">
        <f>+SUMIFS('Exhibit 4.4'!I:I,'Exhibit 4.4'!A:A,A39)</f>
        <v>1.0120247384208021</v>
      </c>
      <c r="F39" s="33"/>
      <c r="G39" s="33">
        <f>+SUMIFS('Exhibit 5.2'!S:S,'Exhibit 5.2'!A:A,A39)</f>
        <v>0.81751053158444298</v>
      </c>
      <c r="H39" s="33"/>
      <c r="I39" s="33">
        <f>C39*E39/G39</f>
        <v>0.31228423460396521</v>
      </c>
      <c r="J39" s="30"/>
    </row>
    <row r="40" spans="1:13" ht="12.75" customHeight="1">
      <c r="A40" s="162">
        <f>+'Exhibit 7.1'!A40</f>
        <v>2017</v>
      </c>
      <c r="B40" s="33"/>
      <c r="C40" s="33">
        <f>+SUMIFS('Exhibit 3.2'!F:F,'Exhibit 3.2'!A:A,A40)</f>
        <v>0.25782166148753982</v>
      </c>
      <c r="D40" s="33"/>
      <c r="E40" s="32">
        <f>+SUMIFS('Exhibit 4.4'!I:I,'Exhibit 4.4'!A:A,A40)</f>
        <v>1.0150801296109309</v>
      </c>
      <c r="F40" s="33"/>
      <c r="G40" s="33">
        <f>+SUMIFS('Exhibit 5.2'!S:S,'Exhibit 5.2'!A:A,A40)</f>
        <v>0.85652118830866486</v>
      </c>
      <c r="H40" s="33"/>
      <c r="I40" s="33">
        <f>C40*E40/G40</f>
        <v>0.30554952887512815</v>
      </c>
      <c r="J40" s="30"/>
    </row>
    <row r="41" spans="1:13" ht="12.75" customHeight="1">
      <c r="A41" s="252">
        <f>+'Exhibit 7.1'!A41</f>
        <v>2018</v>
      </c>
      <c r="B41" s="33"/>
      <c r="C41" s="33">
        <f>+SUMIFS('Exhibit 3.2'!F:F,'Exhibit 3.2'!A:A,A41)</f>
        <v>0.28098225116446279</v>
      </c>
      <c r="D41" s="33"/>
      <c r="E41" s="32">
        <f>+SUMIFS('Exhibit 4.4'!I:I,'Exhibit 4.4'!A:A,A41)</f>
        <v>1.0161023285534556</v>
      </c>
      <c r="F41" s="33"/>
      <c r="G41" s="33">
        <f>+SUMIFS('Exhibit 5.2'!S:S,'Exhibit 5.2'!A:A,A41)</f>
        <v>0.90181801584360444</v>
      </c>
      <c r="H41" s="33"/>
      <c r="I41" s="33">
        <f t="shared" ref="I41:I42" si="1">C41*E41/G41</f>
        <v>0.3165901708265671</v>
      </c>
      <c r="J41" s="30"/>
    </row>
    <row r="42" spans="1:13" ht="12.75" customHeight="1">
      <c r="A42" s="252">
        <f>+'Exhibit 7.1'!A42</f>
        <v>2019</v>
      </c>
      <c r="B42" s="33"/>
      <c r="C42" s="33">
        <f>+SUMIFS('Exhibit 3.2'!F:F,'Exhibit 3.2'!A:A,A42)</f>
        <v>0.31121720744918829</v>
      </c>
      <c r="D42" s="33"/>
      <c r="E42" s="32">
        <f>+SUMIFS('Exhibit 4.4'!I:I,'Exhibit 4.4'!A:A,A42)</f>
        <v>1.0120541121050355</v>
      </c>
      <c r="F42" s="33"/>
      <c r="G42" s="33">
        <f>+SUMIFS('Exhibit 5.2'!S:S,'Exhibit 5.2'!A:A,A42)</f>
        <v>1.0003764532119068</v>
      </c>
      <c r="H42" s="33"/>
      <c r="I42" s="33">
        <f t="shared" si="1"/>
        <v>0.31485012821476116</v>
      </c>
      <c r="J42" s="30"/>
    </row>
    <row r="43" spans="1:13" ht="12.75" customHeight="1">
      <c r="A43" s="252">
        <f>+'Exhibit 7.1'!A43</f>
        <v>2020</v>
      </c>
      <c r="B43" s="30"/>
      <c r="C43" s="33">
        <f>+SUMIFS('Exhibit 3.2'!F:F,'Exhibit 3.2'!A:A,A43)</f>
        <v>0.31763495004080089</v>
      </c>
      <c r="D43" s="33"/>
      <c r="E43" s="32">
        <f>+SUMIFS('Exhibit 4.4'!I:I,'Exhibit 4.4'!A:A,A43)</f>
        <v>1.0080220240089994</v>
      </c>
      <c r="F43" s="33"/>
      <c r="G43" s="33">
        <f>+SUMIFS('Exhibit 5.2'!S:S,'Exhibit 5.2'!A:A,A43)</f>
        <v>1.0606775930272596</v>
      </c>
      <c r="H43" s="33"/>
      <c r="I43" s="33">
        <f>C43*E43/G43</f>
        <v>0.30186649302385776</v>
      </c>
      <c r="J43" s="30"/>
      <c r="K43" s="429" t="s">
        <v>245</v>
      </c>
      <c r="L43" s="430"/>
      <c r="M43" s="431"/>
    </row>
    <row r="44" spans="1:13" ht="12.75" customHeight="1">
      <c r="A44" s="252">
        <f>+'Exhibit 7.1'!A44</f>
        <v>2021</v>
      </c>
      <c r="B44" s="30"/>
      <c r="C44" s="33">
        <f>+SUMIFS('Exhibit 3.2'!F:F,'Exhibit 3.2'!A:A,A44)</f>
        <v>0.35595573557291804</v>
      </c>
      <c r="D44" s="33"/>
      <c r="E44" s="32">
        <f>+SUMIFS('Exhibit 4.4'!I:I,'Exhibit 4.4'!A:A,A44)</f>
        <v>1.0070150089999996</v>
      </c>
      <c r="F44" s="33"/>
      <c r="G44" s="33">
        <f>+SUMIFS('Exhibit 5.2'!S:S,'Exhibit 5.2'!A:A,A44)</f>
        <v>1.0906938319612731</v>
      </c>
      <c r="H44" s="33"/>
      <c r="I44" s="33">
        <f>C44*E44/G44</f>
        <v>0.3286465530083707</v>
      </c>
      <c r="J44" s="30"/>
      <c r="K44" s="128" t="s">
        <v>355</v>
      </c>
      <c r="L44" s="129" t="s">
        <v>244</v>
      </c>
      <c r="M44" s="114" t="s">
        <v>246</v>
      </c>
    </row>
    <row r="45" spans="1:13" ht="12.75" customHeight="1">
      <c r="A45" s="162"/>
      <c r="B45" s="122"/>
      <c r="C45" s="122"/>
      <c r="D45" s="122"/>
      <c r="E45" s="61"/>
      <c r="F45" s="61"/>
      <c r="G45" s="61"/>
      <c r="H45" s="62"/>
      <c r="J45" s="122"/>
      <c r="K45" s="125" t="str">
        <f>+'Exhibit 6.1'!A49</f>
        <v>2020*</v>
      </c>
      <c r="L45" s="130">
        <f>'Exhibit 7.1'!L45</f>
        <v>-9.3187862754862572E-2</v>
      </c>
      <c r="M45" s="115">
        <f>+'Exhibit 6.4'!$P$36</f>
        <v>1.4999999999999999E-2</v>
      </c>
    </row>
    <row r="46" spans="1:13" ht="12.75" customHeight="1">
      <c r="A46" s="225"/>
      <c r="B46" s="225"/>
      <c r="C46" s="225"/>
      <c r="D46" s="225"/>
      <c r="E46" s="61"/>
      <c r="F46" s="61"/>
      <c r="G46" s="61"/>
      <c r="H46" s="62"/>
      <c r="I46" s="61" t="s">
        <v>224</v>
      </c>
      <c r="J46" s="225"/>
      <c r="K46" s="125">
        <f>+'Exhibit 6.1'!A50</f>
        <v>2021</v>
      </c>
      <c r="L46" s="130">
        <f>'Exhibit 7.1'!L46</f>
        <v>7.8500671910616049E-2</v>
      </c>
      <c r="M46" s="115">
        <f>+'Exhibit 6.4'!$P$36</f>
        <v>1.4999999999999999E-2</v>
      </c>
    </row>
    <row r="47" spans="1:13" ht="12.75" customHeight="1">
      <c r="A47" s="225">
        <f>+'Exhibit 7.1'!A47</f>
        <v>2022</v>
      </c>
      <c r="B47" s="122"/>
      <c r="C47" s="122"/>
      <c r="D47" s="122"/>
      <c r="E47" s="61"/>
      <c r="F47" s="61"/>
      <c r="G47" s="61"/>
      <c r="H47" s="62"/>
      <c r="I47" s="30">
        <f>AVERAGE($I$42*(1+$L$45)*(1+$L$46)*(1+$L$47)*(1+$M$45)*(1+$M$46)*(1+$M$47),$I$44*(1+$L$47)*(1+$M$47))</f>
        <v>0.33258426165496546</v>
      </c>
      <c r="J47" s="122"/>
      <c r="K47" s="125">
        <f>+'Exhibit 6.1'!A51</f>
        <v>2022</v>
      </c>
      <c r="L47" s="130">
        <f>'Exhibit 7.1'!L47</f>
        <v>1.4650322314951003E-2</v>
      </c>
      <c r="M47" s="115">
        <f>+'Exhibit 6.4'!$P$36</f>
        <v>1.4999999999999999E-2</v>
      </c>
    </row>
    <row r="48" spans="1:13">
      <c r="A48" s="162">
        <f>+'Exhibit 7.1'!A48</f>
        <v>2023</v>
      </c>
      <c r="B48" s="122"/>
      <c r="C48" s="122"/>
      <c r="D48" s="122"/>
      <c r="E48" s="61"/>
      <c r="F48" s="61"/>
      <c r="G48" s="61"/>
      <c r="H48" s="62"/>
      <c r="I48" s="30">
        <f>I47*(1+L48)*(1+M48)</f>
        <v>0.33807796525013456</v>
      </c>
      <c r="J48" s="122"/>
      <c r="K48" s="125">
        <f>+'Exhibit 6.1'!A52</f>
        <v>2023</v>
      </c>
      <c r="L48" s="130">
        <f>'Exhibit 7.1'!L48</f>
        <v>1.4957938937134596E-3</v>
      </c>
      <c r="M48" s="115">
        <f>+'Exhibit 6.4'!$P$36</f>
        <v>1.4999999999999999E-2</v>
      </c>
    </row>
    <row r="49" spans="1:13">
      <c r="A49" s="165" t="str">
        <f>+'Exhibit 7.1'!A49</f>
        <v>9/1/2023</v>
      </c>
      <c r="B49" s="122"/>
      <c r="C49" s="122"/>
      <c r="D49" s="122"/>
      <c r="E49" s="61"/>
      <c r="F49" s="61"/>
      <c r="G49" s="61"/>
      <c r="H49" s="62"/>
      <c r="I49" s="30">
        <f>I48*((1+L49)^(2/12))*((1+M49)^(2/12))</f>
        <v>0.33810739488534775</v>
      </c>
      <c r="J49" s="122"/>
      <c r="K49" s="126">
        <f>+'Exhibit 6.1'!A53</f>
        <v>2024</v>
      </c>
      <c r="L49" s="432">
        <f>'Exhibit 7.1'!L49</f>
        <v>-1.4263632747320787E-2</v>
      </c>
      <c r="M49" s="116">
        <f>+'Exhibit 6.4'!$P$36</f>
        <v>1.4999999999999999E-2</v>
      </c>
    </row>
    <row r="50" spans="1:13">
      <c r="A50" s="162"/>
      <c r="B50" s="162"/>
      <c r="C50" s="162"/>
      <c r="D50" s="162"/>
      <c r="E50" s="61"/>
      <c r="F50" s="61"/>
      <c r="G50" s="61"/>
      <c r="H50" s="62"/>
      <c r="I50" s="62"/>
      <c r="J50" s="162"/>
    </row>
    <row r="51" spans="1:13" ht="27.75" customHeight="1">
      <c r="A51" s="31" t="s">
        <v>22</v>
      </c>
      <c r="B51" s="521" t="s">
        <v>232</v>
      </c>
      <c r="C51" s="521"/>
      <c r="D51" s="521"/>
      <c r="E51" s="521"/>
      <c r="F51" s="521"/>
      <c r="G51" s="521"/>
      <c r="H51" s="521"/>
      <c r="I51" s="521"/>
      <c r="J51" s="122"/>
    </row>
    <row r="52" spans="1:13">
      <c r="A52" s="31" t="s">
        <v>28</v>
      </c>
      <c r="B52" s="521" t="s">
        <v>233</v>
      </c>
      <c r="C52" s="521"/>
      <c r="D52" s="521"/>
      <c r="E52" s="521"/>
      <c r="F52" s="521"/>
      <c r="G52" s="521"/>
      <c r="H52" s="521"/>
      <c r="I52" s="521"/>
      <c r="J52" s="122"/>
    </row>
    <row r="53" spans="1:13">
      <c r="A53" s="31" t="s">
        <v>38</v>
      </c>
      <c r="B53" s="521" t="s">
        <v>227</v>
      </c>
      <c r="C53" s="521"/>
      <c r="D53" s="521"/>
      <c r="E53" s="521"/>
      <c r="F53" s="521"/>
      <c r="G53" s="521"/>
      <c r="H53" s="521"/>
      <c r="I53" s="521"/>
      <c r="J53" s="122"/>
    </row>
    <row r="54" spans="1:13" ht="51.95" customHeight="1">
      <c r="A54" s="31" t="s">
        <v>57</v>
      </c>
      <c r="B54" s="521" t="s">
        <v>555</v>
      </c>
      <c r="C54" s="521"/>
      <c r="D54" s="521"/>
      <c r="E54" s="521"/>
      <c r="F54" s="521"/>
      <c r="G54" s="521"/>
      <c r="H54" s="521"/>
      <c r="I54" s="521"/>
      <c r="J54" s="122"/>
    </row>
    <row r="55" spans="1:13" ht="27" customHeight="1">
      <c r="A55" s="31" t="s">
        <v>41</v>
      </c>
      <c r="B55" s="521" t="s">
        <v>345</v>
      </c>
      <c r="C55" s="521"/>
      <c r="D55" s="521"/>
      <c r="E55" s="521"/>
      <c r="F55" s="521"/>
      <c r="G55" s="521"/>
      <c r="H55" s="521"/>
      <c r="I55" s="521"/>
    </row>
  </sheetData>
  <mergeCells count="5">
    <mergeCell ref="B55:I55"/>
    <mergeCell ref="B52:I52"/>
    <mergeCell ref="B53:I53"/>
    <mergeCell ref="B54:I54"/>
    <mergeCell ref="B51:I51"/>
  </mergeCells>
  <printOptions horizontalCentered="1"/>
  <pageMargins left="0.5" right="0.5" top="0.75" bottom="0.75" header="0.33" footer="0.33"/>
  <pageSetup scale="72" orientation="portrait" blackAndWhite="1" horizontalDpi="1200" verticalDpi="1200" r:id="rId1"/>
  <headerFooter scaleWithDoc="0">
    <oddHeader>&amp;R&amp;"Arial,Regular"&amp;10Exhibit 7.3</oddHeader>
  </headerFooter>
  <ignoredErrors>
    <ignoredError sqref="C5:I5"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pageSetUpPr fitToPage="1"/>
  </sheetPr>
  <dimension ref="A1:T26"/>
  <sheetViews>
    <sheetView zoomScaleNormal="100" zoomScaleSheetLayoutView="115" workbookViewId="0"/>
  </sheetViews>
  <sheetFormatPr defaultColWidth="9.140625" defaultRowHeight="12.75"/>
  <cols>
    <col min="1" max="1" width="6.7109375" style="100" customWidth="1"/>
    <col min="2" max="7" width="7.7109375" style="100" customWidth="1"/>
    <col min="8" max="8" width="14" style="100" customWidth="1"/>
    <col min="9" max="9" width="5" style="100" customWidth="1"/>
    <col min="10" max="10" width="1.140625" style="100" customWidth="1"/>
    <col min="11" max="11" width="7.7109375" style="100" customWidth="1"/>
    <col min="12" max="12" width="1.7109375" style="100" customWidth="1"/>
    <col min="13" max="13" width="7.7109375" style="100" customWidth="1"/>
    <col min="14" max="14" width="1.7109375" style="100" customWidth="1"/>
    <col min="15" max="15" width="7.7109375" style="100" customWidth="1"/>
    <col min="16" max="16384" width="9.140625" style="100"/>
  </cols>
  <sheetData>
    <row r="1" spans="1:20" ht="15">
      <c r="A1" s="427" t="s">
        <v>424</v>
      </c>
      <c r="B1" s="276"/>
      <c r="C1" s="276"/>
      <c r="D1" s="276"/>
      <c r="E1" s="276"/>
      <c r="F1" s="276"/>
      <c r="G1" s="276"/>
      <c r="H1" s="276"/>
      <c r="I1" s="276"/>
      <c r="J1" s="276"/>
      <c r="K1" s="276"/>
      <c r="L1" s="276"/>
      <c r="M1" s="276"/>
      <c r="N1" s="276"/>
      <c r="O1" s="276"/>
      <c r="P1"/>
    </row>
    <row r="2" spans="1:20" ht="15">
      <c r="A2" s="428" t="s">
        <v>563</v>
      </c>
      <c r="B2" s="277"/>
      <c r="C2" s="277"/>
      <c r="D2" s="277"/>
      <c r="E2" s="277"/>
      <c r="F2" s="277"/>
      <c r="G2" s="277"/>
      <c r="H2" s="277"/>
      <c r="I2" s="277"/>
      <c r="J2" s="277"/>
      <c r="K2" s="277"/>
      <c r="L2" s="277"/>
      <c r="M2" s="277"/>
      <c r="N2" s="277"/>
      <c r="O2" s="277"/>
      <c r="P2"/>
    </row>
    <row r="3" spans="1:20">
      <c r="A3" s="245" t="str">
        <f>'Exhibit 3.1'!$A$3</f>
        <v>Based on Experience as of December 31, 2021</v>
      </c>
      <c r="B3" s="277"/>
      <c r="C3" s="277"/>
      <c r="D3" s="277"/>
      <c r="E3" s="277"/>
      <c r="F3" s="277"/>
      <c r="G3" s="277"/>
      <c r="H3" s="277"/>
      <c r="I3" s="277"/>
      <c r="J3" s="277"/>
      <c r="K3" s="277"/>
      <c r="L3" s="277"/>
      <c r="M3" s="277"/>
      <c r="N3" s="277"/>
      <c r="O3" s="277"/>
    </row>
    <row r="4" spans="1:20">
      <c r="A4" s="300"/>
      <c r="B4" s="277"/>
      <c r="C4" s="277"/>
      <c r="D4" s="277"/>
      <c r="E4" s="277"/>
      <c r="F4" s="277"/>
      <c r="G4" s="277"/>
      <c r="H4" s="277"/>
      <c r="I4" s="277"/>
      <c r="J4" s="277"/>
      <c r="K4" s="277"/>
      <c r="L4" s="277"/>
      <c r="M4" s="277"/>
      <c r="N4" s="277"/>
      <c r="O4" s="277"/>
    </row>
    <row r="5" spans="1:20">
      <c r="A5" s="93"/>
      <c r="B5" s="94"/>
      <c r="C5" s="94"/>
      <c r="D5" s="94"/>
      <c r="E5" s="94"/>
      <c r="F5" s="94"/>
      <c r="G5" s="95"/>
      <c r="H5" s="95"/>
      <c r="I5" s="95"/>
      <c r="J5" s="95"/>
      <c r="K5" s="95"/>
      <c r="L5" s="95"/>
      <c r="M5" s="96"/>
      <c r="N5" s="96"/>
      <c r="O5" s="96"/>
    </row>
    <row r="6" spans="1:20">
      <c r="A6" s="93"/>
      <c r="B6" s="94"/>
      <c r="C6" s="94"/>
      <c r="D6" s="94"/>
      <c r="E6" s="94"/>
      <c r="F6" s="94"/>
      <c r="G6" s="97"/>
      <c r="H6" s="97"/>
      <c r="I6" s="97"/>
      <c r="J6" s="97"/>
      <c r="K6" s="97"/>
      <c r="L6" s="97"/>
      <c r="M6" s="97"/>
      <c r="N6" s="97"/>
      <c r="O6" s="97"/>
    </row>
    <row r="7" spans="1:20">
      <c r="A7" s="93"/>
      <c r="B7" s="94"/>
      <c r="C7" s="94"/>
      <c r="D7" s="94"/>
      <c r="E7" s="94"/>
      <c r="F7" s="94"/>
      <c r="G7" s="97"/>
      <c r="H7" s="97"/>
      <c r="I7" s="97"/>
      <c r="J7" s="97"/>
      <c r="K7" s="95" t="s">
        <v>3</v>
      </c>
      <c r="L7" s="95"/>
      <c r="M7" s="95" t="s">
        <v>5</v>
      </c>
      <c r="N7" s="95"/>
      <c r="O7" s="95" t="s">
        <v>116</v>
      </c>
    </row>
    <row r="8" spans="1:20">
      <c r="A8" s="93"/>
      <c r="B8" s="94"/>
      <c r="C8" s="94"/>
      <c r="D8" s="94"/>
      <c r="E8" s="94"/>
      <c r="F8" s="94"/>
      <c r="G8" s="97"/>
      <c r="H8" s="97"/>
      <c r="I8" s="97"/>
      <c r="J8" s="97"/>
      <c r="K8" s="97"/>
      <c r="L8" s="97"/>
      <c r="M8" s="97"/>
      <c r="N8" s="97"/>
      <c r="O8" s="97"/>
    </row>
    <row r="9" spans="1:20" ht="28.5" customHeight="1">
      <c r="A9" s="98" t="s">
        <v>234</v>
      </c>
      <c r="B9" s="548" t="s">
        <v>235</v>
      </c>
      <c r="C9" s="548"/>
      <c r="D9" s="548"/>
      <c r="E9" s="548"/>
      <c r="F9" s="548"/>
      <c r="G9" s="548"/>
      <c r="H9" s="548"/>
      <c r="I9" s="97"/>
      <c r="J9" s="97"/>
      <c r="K9" s="99">
        <f ca="1">+ROUND('Exhibit 7.1'!I49,3)</f>
        <v>0.317</v>
      </c>
      <c r="L9" s="99"/>
      <c r="M9" s="99">
        <f>+ROUND('Exhibit 7.3'!I49,3)</f>
        <v>0.33800000000000002</v>
      </c>
      <c r="N9" s="99"/>
      <c r="O9" s="99">
        <f ca="1">ROUND(M9,3)+ROUND(K9,3)</f>
        <v>0.65500000000000003</v>
      </c>
      <c r="Q9" s="452" t="s">
        <v>441</v>
      </c>
      <c r="R9" s="453" t="s">
        <v>442</v>
      </c>
      <c r="S9" s="453" t="s">
        <v>443</v>
      </c>
      <c r="T9" s="454" t="s">
        <v>382</v>
      </c>
    </row>
    <row r="10" spans="1:20">
      <c r="A10" s="93"/>
      <c r="G10" s="97"/>
      <c r="H10" s="97"/>
      <c r="I10" s="97"/>
      <c r="J10" s="97"/>
      <c r="K10" s="97"/>
      <c r="L10" s="97"/>
      <c r="M10" s="97"/>
      <c r="N10" s="97"/>
      <c r="O10" s="97"/>
      <c r="Q10" s="455"/>
      <c r="R10" s="451"/>
      <c r="S10" s="451"/>
      <c r="T10" s="456"/>
    </row>
    <row r="11" spans="1:20">
      <c r="A11" s="101" t="s">
        <v>332</v>
      </c>
      <c r="B11" s="100" t="s">
        <v>236</v>
      </c>
      <c r="K11" s="102"/>
      <c r="L11" s="102"/>
      <c r="M11" s="96"/>
      <c r="N11" s="96"/>
      <c r="O11" s="111">
        <f>1+T11</f>
        <v>1.321</v>
      </c>
      <c r="Q11" s="457">
        <v>0.14299999999999999</v>
      </c>
      <c r="R11" s="458">
        <v>3.5999999999999997E-2</v>
      </c>
      <c r="S11" s="458">
        <v>0.14199999999999999</v>
      </c>
      <c r="T11" s="459">
        <f>SUM(Q11:S11)</f>
        <v>0.32099999999999995</v>
      </c>
    </row>
    <row r="12" spans="1:20">
      <c r="A12" s="93"/>
      <c r="B12" s="100" t="s">
        <v>336</v>
      </c>
      <c r="K12" s="97"/>
      <c r="L12" s="97"/>
      <c r="M12" s="97"/>
      <c r="N12" s="97"/>
      <c r="O12" s="97"/>
    </row>
    <row r="13" spans="1:20">
      <c r="A13" s="93"/>
      <c r="J13" s="181"/>
      <c r="K13" s="103"/>
      <c r="L13" s="103"/>
      <c r="M13" s="103"/>
      <c r="N13" s="102"/>
    </row>
    <row r="14" spans="1:20" ht="39.75" customHeight="1">
      <c r="A14" s="98" t="s">
        <v>333</v>
      </c>
      <c r="B14" s="521" t="s">
        <v>556</v>
      </c>
      <c r="C14" s="521"/>
      <c r="D14" s="521"/>
      <c r="E14" s="521"/>
      <c r="F14" s="521"/>
      <c r="G14" s="521"/>
      <c r="H14" s="521"/>
      <c r="I14" s="549"/>
      <c r="J14" s="181"/>
      <c r="K14" s="103"/>
      <c r="L14" s="103"/>
      <c r="M14" s="103"/>
      <c r="N14" s="102"/>
      <c r="O14" s="103">
        <f ca="1">+O9*O11</f>
        <v>0.865255</v>
      </c>
    </row>
    <row r="15" spans="1:20" ht="12.75" customHeight="1">
      <c r="A15" s="98"/>
      <c r="B15" s="313"/>
      <c r="C15" s="313"/>
      <c r="D15" s="313"/>
      <c r="E15" s="313"/>
      <c r="F15" s="313"/>
      <c r="G15" s="313"/>
      <c r="H15" s="313"/>
      <c r="I15" s="314"/>
      <c r="J15" s="315"/>
      <c r="K15" s="103"/>
      <c r="L15" s="103"/>
      <c r="M15" s="103"/>
      <c r="N15" s="102"/>
      <c r="O15" s="103"/>
    </row>
    <row r="16" spans="1:20" ht="39.75" customHeight="1">
      <c r="A16" s="147" t="s">
        <v>237</v>
      </c>
      <c r="B16" s="529" t="s">
        <v>557</v>
      </c>
      <c r="C16" s="529"/>
      <c r="D16" s="529"/>
      <c r="E16" s="529"/>
      <c r="F16" s="529"/>
      <c r="G16" s="529"/>
      <c r="H16" s="529"/>
      <c r="I16" s="529"/>
      <c r="J16" s="529"/>
      <c r="K16" s="529"/>
      <c r="L16" s="155"/>
      <c r="M16" s="155"/>
      <c r="N16" s="30"/>
      <c r="O16" s="287">
        <f>1.03/1.015-1</f>
        <v>1.4778325123152802E-2</v>
      </c>
    </row>
    <row r="17" spans="1:15">
      <c r="A17" s="147"/>
    </row>
    <row r="18" spans="1:15" ht="40.15" customHeight="1">
      <c r="A18" s="147" t="s">
        <v>328</v>
      </c>
      <c r="B18" s="521" t="s">
        <v>558</v>
      </c>
      <c r="C18" s="521"/>
      <c r="D18" s="521"/>
      <c r="E18" s="521"/>
      <c r="F18" s="521"/>
      <c r="G18" s="521"/>
      <c r="H18" s="521"/>
      <c r="I18" s="549"/>
      <c r="J18" s="181"/>
      <c r="K18" s="103"/>
      <c r="L18" s="103"/>
      <c r="M18" s="103"/>
      <c r="N18" s="102"/>
      <c r="O18" s="494">
        <f ca="1">+ROUND(O14*(1+O16)-1,3)</f>
        <v>-0.122</v>
      </c>
    </row>
    <row r="19" spans="1:15">
      <c r="A19" s="147"/>
      <c r="B19" s="179"/>
      <c r="C19" s="179"/>
      <c r="D19" s="179"/>
      <c r="E19" s="179"/>
      <c r="F19" s="179"/>
      <c r="G19" s="179"/>
      <c r="H19" s="179"/>
      <c r="I19" s="181"/>
      <c r="J19" s="181"/>
      <c r="K19" s="103"/>
      <c r="L19" s="103"/>
      <c r="M19" s="103"/>
      <c r="N19" s="102"/>
      <c r="O19" s="103"/>
    </row>
    <row r="20" spans="1:15" ht="28.15" customHeight="1">
      <c r="A20" s="147" t="s">
        <v>238</v>
      </c>
      <c r="B20" s="521" t="s">
        <v>559</v>
      </c>
      <c r="C20" s="521"/>
      <c r="D20" s="521"/>
      <c r="E20" s="521"/>
      <c r="F20" s="521"/>
      <c r="G20" s="521"/>
      <c r="H20" s="521"/>
      <c r="I20" s="547"/>
      <c r="O20" s="400">
        <v>1.77</v>
      </c>
    </row>
    <row r="21" spans="1:15">
      <c r="A21" s="147"/>
      <c r="B21" s="174"/>
      <c r="C21" s="174"/>
      <c r="D21" s="174"/>
      <c r="E21" s="174"/>
      <c r="F21" s="174"/>
      <c r="G21" s="174"/>
      <c r="H21" s="174"/>
      <c r="O21" s="97"/>
    </row>
    <row r="22" spans="1:15" ht="54.95" customHeight="1">
      <c r="A22" s="147" t="s">
        <v>284</v>
      </c>
      <c r="B22" s="521" t="s">
        <v>560</v>
      </c>
      <c r="C22" s="521"/>
      <c r="D22" s="521"/>
      <c r="E22" s="521"/>
      <c r="F22" s="521"/>
      <c r="G22" s="521"/>
      <c r="H22" s="521"/>
      <c r="I22" s="547"/>
      <c r="O22" s="104">
        <f ca="1">+ROUND(O20*(1+O18),2)</f>
        <v>1.55</v>
      </c>
    </row>
    <row r="23" spans="1:15" ht="15">
      <c r="A23" s="98"/>
      <c r="B23" s="501"/>
      <c r="C23" s="501"/>
      <c r="D23" s="501"/>
      <c r="E23" s="501"/>
      <c r="F23" s="501"/>
      <c r="G23" s="501"/>
      <c r="H23" s="501"/>
      <c r="I23" s="506"/>
      <c r="J23" s="315"/>
      <c r="K23" s="103"/>
      <c r="L23" s="103"/>
      <c r="M23" s="103"/>
      <c r="N23" s="102"/>
      <c r="O23" s="103"/>
    </row>
    <row r="24" spans="1:15" ht="39.950000000000003" customHeight="1">
      <c r="A24" s="147" t="s">
        <v>384</v>
      </c>
      <c r="B24" s="521" t="s">
        <v>561</v>
      </c>
      <c r="C24" s="521"/>
      <c r="D24" s="521"/>
      <c r="E24" s="521"/>
      <c r="F24" s="521"/>
      <c r="G24" s="521"/>
      <c r="H24" s="521"/>
      <c r="I24" s="547"/>
      <c r="J24" s="521"/>
      <c r="K24" s="521"/>
      <c r="L24" s="155"/>
      <c r="M24" s="155"/>
      <c r="N24" s="30"/>
      <c r="O24" s="287">
        <v>5.0000000000000001E-3</v>
      </c>
    </row>
    <row r="25" spans="1:15">
      <c r="A25" s="147"/>
      <c r="B25" s="502"/>
      <c r="C25" s="502"/>
      <c r="D25" s="502"/>
      <c r="E25" s="502"/>
      <c r="F25" s="502"/>
      <c r="G25" s="502"/>
      <c r="H25" s="502"/>
      <c r="O25" s="97"/>
    </row>
    <row r="26" spans="1:15" ht="54.95" customHeight="1">
      <c r="A26" s="147" t="s">
        <v>383</v>
      </c>
      <c r="B26" s="521" t="s">
        <v>562</v>
      </c>
      <c r="C26" s="521"/>
      <c r="D26" s="521"/>
      <c r="E26" s="521"/>
      <c r="F26" s="521"/>
      <c r="G26" s="521"/>
      <c r="H26" s="521"/>
      <c r="I26" s="547"/>
      <c r="O26" s="104">
        <f ca="1">+ROUND(O22*(1+O24),2)</f>
        <v>1.56</v>
      </c>
    </row>
  </sheetData>
  <sheetProtection selectLockedCells="1"/>
  <mergeCells count="9">
    <mergeCell ref="B26:I26"/>
    <mergeCell ref="B24:I24"/>
    <mergeCell ref="J24:K24"/>
    <mergeCell ref="B22:I22"/>
    <mergeCell ref="B9:H9"/>
    <mergeCell ref="B14:I14"/>
    <mergeCell ref="B18:I18"/>
    <mergeCell ref="B20:I20"/>
    <mergeCell ref="B16:K16"/>
  </mergeCells>
  <printOptions horizontalCentered="1"/>
  <pageMargins left="0.5" right="0.5" top="0.75" bottom="0.75" header="0.33" footer="0.33"/>
  <pageSetup scale="95" orientation="portrait" blackAndWhite="1" r:id="rId1"/>
  <headerFooter scaleWithDoc="0">
    <oddHeader>&amp;R&amp;"Arial,Regular"&amp;10Exhibit 8</oddHeader>
  </headerFooter>
  <ignoredErrors>
    <ignoredError sqref="B3:O3 J12:O12 J10:O10 J9 J20:N20 J21:N21 J13:O13 J14:N14 J19:N19 J18:N18 J22:N22 O19 O21 N9:O9 L9 J11:N11 A5:O8"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Q35"/>
  <sheetViews>
    <sheetView zoomScaleNormal="100" workbookViewId="0"/>
  </sheetViews>
  <sheetFormatPr defaultColWidth="9.140625" defaultRowHeight="12.75"/>
  <cols>
    <col min="1" max="1" width="14" style="120" customWidth="1"/>
    <col min="2" max="17" width="7.7109375" style="120" customWidth="1"/>
    <col min="18" max="16384" width="9.140625" style="120"/>
  </cols>
  <sheetData>
    <row r="1" spans="1:17" ht="13.15" customHeight="1">
      <c r="A1" s="240" t="s">
        <v>27</v>
      </c>
      <c r="B1" s="240"/>
      <c r="C1" s="240"/>
      <c r="D1" s="240"/>
      <c r="E1" s="240"/>
      <c r="F1" s="240"/>
      <c r="G1" s="240"/>
      <c r="H1" s="240"/>
      <c r="I1" s="240"/>
      <c r="J1" s="240"/>
      <c r="K1" s="240"/>
      <c r="L1" s="240"/>
      <c r="M1" s="240"/>
      <c r="N1" s="240"/>
      <c r="O1" s="240"/>
      <c r="P1" s="240"/>
      <c r="Q1" s="240"/>
    </row>
    <row r="2" spans="1:17" ht="13.15" customHeight="1">
      <c r="A2" s="118"/>
      <c r="B2" s="118"/>
      <c r="C2" s="118"/>
      <c r="D2" s="118"/>
      <c r="E2" s="118"/>
      <c r="F2" s="118"/>
      <c r="G2" s="118"/>
      <c r="H2" s="118"/>
      <c r="I2" s="118"/>
      <c r="J2" s="118"/>
      <c r="K2" s="118"/>
      <c r="L2" s="118"/>
      <c r="M2" s="118"/>
      <c r="N2" s="118"/>
      <c r="O2" s="118"/>
      <c r="P2" s="118"/>
      <c r="Q2" s="118"/>
    </row>
    <row r="3" spans="1:17" ht="13.15" customHeight="1">
      <c r="A3" s="119"/>
      <c r="B3" s="241" t="s">
        <v>292</v>
      </c>
      <c r="C3" s="241"/>
      <c r="D3" s="241"/>
      <c r="E3" s="241"/>
      <c r="F3" s="241"/>
      <c r="G3" s="241"/>
      <c r="H3" s="241"/>
      <c r="I3" s="241"/>
      <c r="J3" s="241"/>
      <c r="K3" s="241"/>
      <c r="L3" s="241"/>
      <c r="M3" s="241"/>
      <c r="N3" s="241"/>
      <c r="O3" s="241"/>
      <c r="P3" s="241"/>
      <c r="Q3" s="241"/>
    </row>
    <row r="4" spans="1:17" ht="13.15" customHeight="1">
      <c r="A4" s="11" t="s">
        <v>19</v>
      </c>
      <c r="B4" s="11" t="s">
        <v>445</v>
      </c>
      <c r="C4" s="11" t="s">
        <v>446</v>
      </c>
      <c r="D4" s="11" t="s">
        <v>447</v>
      </c>
      <c r="E4" s="11" t="s">
        <v>448</v>
      </c>
      <c r="F4" s="11" t="s">
        <v>449</v>
      </c>
      <c r="G4" s="11" t="s">
        <v>450</v>
      </c>
      <c r="H4" s="11" t="s">
        <v>451</v>
      </c>
      <c r="I4" s="11" t="s">
        <v>452</v>
      </c>
      <c r="J4" s="11" t="s">
        <v>453</v>
      </c>
      <c r="K4" s="11" t="s">
        <v>454</v>
      </c>
      <c r="L4" s="11" t="s">
        <v>455</v>
      </c>
      <c r="M4" s="11" t="s">
        <v>456</v>
      </c>
      <c r="N4" s="11" t="s">
        <v>457</v>
      </c>
      <c r="O4" s="11" t="s">
        <v>458</v>
      </c>
      <c r="P4" s="11" t="s">
        <v>459</v>
      </c>
      <c r="Q4" s="11" t="s">
        <v>460</v>
      </c>
    </row>
    <row r="5" spans="1:17" s="205" customFormat="1" ht="13.15" customHeight="1">
      <c r="A5" s="12">
        <f t="shared" ref="A5:A28" si="0">+A6-1</f>
        <v>1996</v>
      </c>
      <c r="B5" s="362" t="s">
        <v>34</v>
      </c>
      <c r="C5" s="362" t="s">
        <v>34</v>
      </c>
      <c r="D5" s="362" t="s">
        <v>34</v>
      </c>
      <c r="E5" s="362" t="s">
        <v>34</v>
      </c>
      <c r="F5" s="362" t="s">
        <v>34</v>
      </c>
      <c r="G5" s="362" t="s">
        <v>34</v>
      </c>
      <c r="H5" s="362" t="s">
        <v>34</v>
      </c>
      <c r="I5" s="362" t="s">
        <v>34</v>
      </c>
      <c r="J5" s="362" t="s">
        <v>34</v>
      </c>
      <c r="K5" s="362" t="s">
        <v>34</v>
      </c>
      <c r="L5" s="362" t="s">
        <v>34</v>
      </c>
      <c r="M5" s="362">
        <v>1.024</v>
      </c>
      <c r="N5" s="362">
        <v>1.018</v>
      </c>
      <c r="O5" s="362">
        <v>1.0129999999999999</v>
      </c>
      <c r="P5" s="362">
        <v>1.014</v>
      </c>
      <c r="Q5" s="362">
        <v>1.0049999999999999</v>
      </c>
    </row>
    <row r="6" spans="1:17" ht="13.15" customHeight="1">
      <c r="A6" s="12">
        <f t="shared" si="0"/>
        <v>1997</v>
      </c>
      <c r="B6" s="362" t="s">
        <v>34</v>
      </c>
      <c r="C6" s="362" t="s">
        <v>34</v>
      </c>
      <c r="D6" s="362" t="s">
        <v>34</v>
      </c>
      <c r="E6" s="362" t="s">
        <v>34</v>
      </c>
      <c r="F6" s="362" t="s">
        <v>34</v>
      </c>
      <c r="G6" s="362" t="s">
        <v>34</v>
      </c>
      <c r="H6" s="362" t="s">
        <v>34</v>
      </c>
      <c r="I6" s="362" t="s">
        <v>34</v>
      </c>
      <c r="J6" s="362" t="s">
        <v>34</v>
      </c>
      <c r="K6" s="362" t="s">
        <v>34</v>
      </c>
      <c r="L6" s="362">
        <v>1.03</v>
      </c>
      <c r="M6" s="362">
        <v>1.012</v>
      </c>
      <c r="N6" s="362">
        <v>1.0149999999999999</v>
      </c>
      <c r="O6" s="362">
        <v>1.012</v>
      </c>
      <c r="P6" s="362">
        <v>1.0029999999999999</v>
      </c>
      <c r="Q6" s="362">
        <v>1.0069999999999999</v>
      </c>
    </row>
    <row r="7" spans="1:17" ht="13.15" customHeight="1">
      <c r="A7" s="12">
        <f t="shared" si="0"/>
        <v>1998</v>
      </c>
      <c r="B7" s="362" t="s">
        <v>34</v>
      </c>
      <c r="C7" s="362" t="s">
        <v>34</v>
      </c>
      <c r="D7" s="362" t="s">
        <v>34</v>
      </c>
      <c r="E7" s="362" t="s">
        <v>34</v>
      </c>
      <c r="F7" s="362" t="s">
        <v>34</v>
      </c>
      <c r="G7" s="362" t="s">
        <v>34</v>
      </c>
      <c r="H7" s="362" t="s">
        <v>34</v>
      </c>
      <c r="I7" s="362" t="s">
        <v>34</v>
      </c>
      <c r="J7" s="362" t="s">
        <v>34</v>
      </c>
      <c r="K7" s="362">
        <v>1.0229999999999999</v>
      </c>
      <c r="L7" s="362">
        <v>1.02</v>
      </c>
      <c r="M7" s="362">
        <v>1.0169999999999999</v>
      </c>
      <c r="N7" s="362">
        <v>1.004</v>
      </c>
      <c r="O7" s="362">
        <v>1.014</v>
      </c>
      <c r="P7" s="362">
        <v>1.008</v>
      </c>
      <c r="Q7" s="362">
        <v>1.012</v>
      </c>
    </row>
    <row r="8" spans="1:17" ht="13.15" customHeight="1">
      <c r="A8" s="12">
        <f t="shared" si="0"/>
        <v>1999</v>
      </c>
      <c r="B8" s="362" t="s">
        <v>34</v>
      </c>
      <c r="C8" s="362" t="s">
        <v>34</v>
      </c>
      <c r="D8" s="362" t="s">
        <v>34</v>
      </c>
      <c r="E8" s="362" t="s">
        <v>34</v>
      </c>
      <c r="F8" s="362" t="s">
        <v>34</v>
      </c>
      <c r="G8" s="362" t="s">
        <v>34</v>
      </c>
      <c r="H8" s="362" t="s">
        <v>34</v>
      </c>
      <c r="I8" s="362" t="s">
        <v>34</v>
      </c>
      <c r="J8" s="362">
        <v>1.03</v>
      </c>
      <c r="K8" s="362">
        <v>1.0189999999999999</v>
      </c>
      <c r="L8" s="362">
        <v>1.018</v>
      </c>
      <c r="M8" s="362">
        <v>1.0129999999999999</v>
      </c>
      <c r="N8" s="362">
        <v>1.0109999999999999</v>
      </c>
      <c r="O8" s="362">
        <v>1.0129999999999999</v>
      </c>
      <c r="P8" s="362">
        <v>1.0049999999999999</v>
      </c>
      <c r="Q8" s="362">
        <v>0.999</v>
      </c>
    </row>
    <row r="9" spans="1:17" ht="13.15" customHeight="1">
      <c r="A9" s="12">
        <f t="shared" si="0"/>
        <v>2000</v>
      </c>
      <c r="B9" s="362" t="s">
        <v>34</v>
      </c>
      <c r="C9" s="362" t="s">
        <v>34</v>
      </c>
      <c r="D9" s="362" t="s">
        <v>34</v>
      </c>
      <c r="E9" s="362" t="s">
        <v>34</v>
      </c>
      <c r="F9" s="362" t="s">
        <v>34</v>
      </c>
      <c r="G9" s="362" t="s">
        <v>34</v>
      </c>
      <c r="H9" s="362" t="s">
        <v>34</v>
      </c>
      <c r="I9" s="362">
        <v>1.028</v>
      </c>
      <c r="J9" s="362">
        <v>1.0169999999999999</v>
      </c>
      <c r="K9" s="362">
        <v>1.024</v>
      </c>
      <c r="L9" s="362">
        <v>1.018</v>
      </c>
      <c r="M9" s="362">
        <v>1.018</v>
      </c>
      <c r="N9" s="362">
        <v>1.012</v>
      </c>
      <c r="O9" s="362">
        <v>1.006</v>
      </c>
      <c r="P9" s="362">
        <v>0.999</v>
      </c>
      <c r="Q9" s="362">
        <v>0.995</v>
      </c>
    </row>
    <row r="10" spans="1:17" ht="13.15" customHeight="1">
      <c r="A10" s="12">
        <f t="shared" si="0"/>
        <v>2001</v>
      </c>
      <c r="B10" s="362" t="s">
        <v>34</v>
      </c>
      <c r="C10" s="362" t="s">
        <v>34</v>
      </c>
      <c r="D10" s="362" t="s">
        <v>34</v>
      </c>
      <c r="E10" s="362" t="s">
        <v>34</v>
      </c>
      <c r="F10" s="362" t="s">
        <v>34</v>
      </c>
      <c r="G10" s="362" t="s">
        <v>34</v>
      </c>
      <c r="H10" s="362">
        <v>1.04</v>
      </c>
      <c r="I10" s="362">
        <v>1.034</v>
      </c>
      <c r="J10" s="362">
        <v>1.0349999999999999</v>
      </c>
      <c r="K10" s="362">
        <v>1.022</v>
      </c>
      <c r="L10" s="362">
        <v>1.0169999999999999</v>
      </c>
      <c r="M10" s="362">
        <v>1.0149999999999999</v>
      </c>
      <c r="N10" s="362">
        <v>1.0129999999999999</v>
      </c>
      <c r="O10" s="362">
        <v>1.0009999999999999</v>
      </c>
      <c r="P10" s="362">
        <v>0.997</v>
      </c>
      <c r="Q10" s="362">
        <v>0.99399999999999999</v>
      </c>
    </row>
    <row r="11" spans="1:17" ht="13.15" customHeight="1">
      <c r="A11" s="12">
        <f t="shared" si="0"/>
        <v>2002</v>
      </c>
      <c r="B11" s="362" t="s">
        <v>34</v>
      </c>
      <c r="C11" s="362" t="s">
        <v>34</v>
      </c>
      <c r="D11" s="362" t="s">
        <v>34</v>
      </c>
      <c r="E11" s="362" t="s">
        <v>34</v>
      </c>
      <c r="F11" s="362" t="s">
        <v>34</v>
      </c>
      <c r="G11" s="362">
        <v>1.04</v>
      </c>
      <c r="H11" s="362">
        <v>1.036</v>
      </c>
      <c r="I11" s="362">
        <v>1.0289999999999999</v>
      </c>
      <c r="J11" s="362">
        <v>1.028</v>
      </c>
      <c r="K11" s="362">
        <v>1.022</v>
      </c>
      <c r="L11" s="362">
        <v>1.014</v>
      </c>
      <c r="M11" s="362">
        <v>1.01</v>
      </c>
      <c r="N11" s="362">
        <v>0.999</v>
      </c>
      <c r="O11" s="362">
        <v>0.997</v>
      </c>
      <c r="P11" s="362">
        <v>1</v>
      </c>
      <c r="Q11" s="362">
        <v>0.999</v>
      </c>
    </row>
    <row r="12" spans="1:17" ht="13.15" customHeight="1">
      <c r="A12" s="12">
        <f t="shared" si="0"/>
        <v>2003</v>
      </c>
      <c r="B12" s="362" t="s">
        <v>34</v>
      </c>
      <c r="C12" s="362" t="s">
        <v>34</v>
      </c>
      <c r="D12" s="362" t="s">
        <v>34</v>
      </c>
      <c r="E12" s="362" t="s">
        <v>34</v>
      </c>
      <c r="F12" s="362">
        <v>1.06</v>
      </c>
      <c r="G12" s="362">
        <v>1.042</v>
      </c>
      <c r="H12" s="362">
        <v>1.042</v>
      </c>
      <c r="I12" s="362">
        <v>1.0369999999999999</v>
      </c>
      <c r="J12" s="362">
        <v>1.0289999999999999</v>
      </c>
      <c r="K12" s="362">
        <v>1.018</v>
      </c>
      <c r="L12" s="362">
        <v>1.0109999999999999</v>
      </c>
      <c r="M12" s="362">
        <v>1.0029999999999999</v>
      </c>
      <c r="N12" s="362">
        <v>0.998</v>
      </c>
      <c r="O12" s="362">
        <v>0.999</v>
      </c>
      <c r="P12" s="362">
        <v>1.0009999999999999</v>
      </c>
      <c r="Q12" s="362">
        <v>1.006</v>
      </c>
    </row>
    <row r="13" spans="1:17" ht="13.15" customHeight="1">
      <c r="A13" s="12">
        <f t="shared" si="0"/>
        <v>2004</v>
      </c>
      <c r="B13" s="362" t="s">
        <v>34</v>
      </c>
      <c r="C13" s="362" t="s">
        <v>34</v>
      </c>
      <c r="D13" s="362" t="s">
        <v>34</v>
      </c>
      <c r="E13" s="362">
        <v>1.081</v>
      </c>
      <c r="F13" s="362">
        <v>1.06</v>
      </c>
      <c r="G13" s="362">
        <v>1.0609999999999999</v>
      </c>
      <c r="H13" s="362">
        <v>1.0429999999999999</v>
      </c>
      <c r="I13" s="362">
        <v>1.032</v>
      </c>
      <c r="J13" s="362">
        <v>1.026</v>
      </c>
      <c r="K13" s="362">
        <v>1.012</v>
      </c>
      <c r="L13" s="362">
        <v>1.006</v>
      </c>
      <c r="M13" s="362">
        <v>1.0009999999999999</v>
      </c>
      <c r="N13" s="362">
        <v>0.996</v>
      </c>
      <c r="O13" s="362">
        <v>0.998</v>
      </c>
      <c r="P13" s="362">
        <v>1.002</v>
      </c>
      <c r="Q13" s="362">
        <v>1</v>
      </c>
    </row>
    <row r="14" spans="1:17" ht="13.15" customHeight="1">
      <c r="A14" s="12">
        <f t="shared" si="0"/>
        <v>2005</v>
      </c>
      <c r="B14" s="362" t="s">
        <v>34</v>
      </c>
      <c r="C14" s="362" t="s">
        <v>34</v>
      </c>
      <c r="D14" s="362">
        <v>1.087</v>
      </c>
      <c r="E14" s="362">
        <v>1.0740000000000001</v>
      </c>
      <c r="F14" s="362">
        <v>1.0840000000000001</v>
      </c>
      <c r="G14" s="362">
        <v>1.0549999999999999</v>
      </c>
      <c r="H14" s="362">
        <v>1.0449999999999999</v>
      </c>
      <c r="I14" s="362">
        <v>1.032</v>
      </c>
      <c r="J14" s="362">
        <v>1.02</v>
      </c>
      <c r="K14" s="362">
        <v>1.006</v>
      </c>
      <c r="L14" s="362">
        <v>1.006</v>
      </c>
      <c r="M14" s="362">
        <v>0.999</v>
      </c>
      <c r="N14" s="362">
        <v>1</v>
      </c>
      <c r="O14" s="362">
        <v>1</v>
      </c>
      <c r="P14" s="362">
        <v>1</v>
      </c>
      <c r="Q14" s="362">
        <v>0.998</v>
      </c>
    </row>
    <row r="15" spans="1:17" ht="13.15" customHeight="1">
      <c r="A15" s="12">
        <f t="shared" si="0"/>
        <v>2006</v>
      </c>
      <c r="B15" s="362" t="s">
        <v>34</v>
      </c>
      <c r="C15" s="362">
        <v>1.196</v>
      </c>
      <c r="D15" s="362">
        <v>1.103</v>
      </c>
      <c r="E15" s="362">
        <v>1.081</v>
      </c>
      <c r="F15" s="362">
        <v>1.0660000000000001</v>
      </c>
      <c r="G15" s="362">
        <v>1.048</v>
      </c>
      <c r="H15" s="362">
        <v>1.04</v>
      </c>
      <c r="I15" s="362">
        <v>1.022</v>
      </c>
      <c r="J15" s="362">
        <v>1.012</v>
      </c>
      <c r="K15" s="362">
        <v>1</v>
      </c>
      <c r="L15" s="362">
        <v>1.0009999999999999</v>
      </c>
      <c r="M15" s="362">
        <v>1.006</v>
      </c>
      <c r="N15" s="362">
        <v>0.999</v>
      </c>
      <c r="O15" s="362">
        <v>1.0029999999999999</v>
      </c>
      <c r="P15" s="362">
        <v>1</v>
      </c>
      <c r="Q15" s="362" t="s">
        <v>34</v>
      </c>
    </row>
    <row r="16" spans="1:17" ht="13.15" customHeight="1">
      <c r="A16" s="12">
        <f t="shared" si="0"/>
        <v>2007</v>
      </c>
      <c r="B16" s="362">
        <v>1.518</v>
      </c>
      <c r="C16" s="362">
        <v>1.204</v>
      </c>
      <c r="D16" s="362">
        <v>1.1240000000000001</v>
      </c>
      <c r="E16" s="362">
        <v>1.081</v>
      </c>
      <c r="F16" s="362">
        <v>1.07</v>
      </c>
      <c r="G16" s="362">
        <v>1.05</v>
      </c>
      <c r="H16" s="362">
        <v>1.032</v>
      </c>
      <c r="I16" s="362">
        <v>1.018</v>
      </c>
      <c r="J16" s="362">
        <v>1.004</v>
      </c>
      <c r="K16" s="362">
        <v>1.008</v>
      </c>
      <c r="L16" s="362">
        <v>1.0009999999999999</v>
      </c>
      <c r="M16" s="362">
        <v>1.004</v>
      </c>
      <c r="N16" s="362">
        <v>0.996</v>
      </c>
      <c r="O16" s="362">
        <v>1</v>
      </c>
      <c r="P16" s="362" t="s">
        <v>34</v>
      </c>
      <c r="Q16" s="362" t="s">
        <v>34</v>
      </c>
    </row>
    <row r="17" spans="1:17" ht="13.15" customHeight="1">
      <c r="A17" s="12">
        <f t="shared" si="0"/>
        <v>2008</v>
      </c>
      <c r="B17" s="362">
        <v>1.5269999999999999</v>
      </c>
      <c r="C17" s="362">
        <v>1.212</v>
      </c>
      <c r="D17" s="362">
        <v>1.129</v>
      </c>
      <c r="E17" s="362">
        <v>1.0920000000000001</v>
      </c>
      <c r="F17" s="362">
        <v>1.0609999999999999</v>
      </c>
      <c r="G17" s="362">
        <v>1.0409999999999999</v>
      </c>
      <c r="H17" s="362">
        <v>1.026</v>
      </c>
      <c r="I17" s="362">
        <v>1.01</v>
      </c>
      <c r="J17" s="362">
        <v>1.0049999999999999</v>
      </c>
      <c r="K17" s="362">
        <v>1.002</v>
      </c>
      <c r="L17" s="362">
        <v>1.0049999999999999</v>
      </c>
      <c r="M17" s="362">
        <v>0.999</v>
      </c>
      <c r="N17" s="362">
        <v>0.999</v>
      </c>
      <c r="O17" s="362" t="s">
        <v>34</v>
      </c>
      <c r="P17" s="362" t="s">
        <v>34</v>
      </c>
      <c r="Q17" s="362" t="s">
        <v>34</v>
      </c>
    </row>
    <row r="18" spans="1:17" ht="13.15" customHeight="1">
      <c r="A18" s="12">
        <f t="shared" si="0"/>
        <v>2009</v>
      </c>
      <c r="B18" s="362">
        <v>1.6040000000000001</v>
      </c>
      <c r="C18" s="362">
        <v>1.2270000000000001</v>
      </c>
      <c r="D18" s="362">
        <v>1.1399999999999999</v>
      </c>
      <c r="E18" s="362">
        <v>1.087</v>
      </c>
      <c r="F18" s="362">
        <v>1.0609999999999999</v>
      </c>
      <c r="G18" s="362">
        <v>1.03</v>
      </c>
      <c r="H18" s="362">
        <v>1.016</v>
      </c>
      <c r="I18" s="362">
        <v>1.0069999999999999</v>
      </c>
      <c r="J18" s="362">
        <v>1.006</v>
      </c>
      <c r="K18" s="362">
        <v>1.008</v>
      </c>
      <c r="L18" s="362">
        <v>1.0009999999999999</v>
      </c>
      <c r="M18" s="362">
        <v>1.0029999999999999</v>
      </c>
      <c r="N18" s="362" t="s">
        <v>34</v>
      </c>
      <c r="O18" s="362" t="s">
        <v>34</v>
      </c>
      <c r="P18" s="362" t="s">
        <v>34</v>
      </c>
      <c r="Q18" s="362" t="s">
        <v>34</v>
      </c>
    </row>
    <row r="19" spans="1:17" ht="13.15" customHeight="1">
      <c r="A19" s="12">
        <f t="shared" si="0"/>
        <v>2010</v>
      </c>
      <c r="B19" s="362">
        <v>1.62</v>
      </c>
      <c r="C19" s="362">
        <v>1.2450000000000001</v>
      </c>
      <c r="D19" s="362">
        <v>1.1339999999999999</v>
      </c>
      <c r="E19" s="362">
        <v>1.077</v>
      </c>
      <c r="F19" s="362">
        <v>1.0449999999999999</v>
      </c>
      <c r="G19" s="362">
        <v>1.0249999999999999</v>
      </c>
      <c r="H19" s="362">
        <v>1.012</v>
      </c>
      <c r="I19" s="362">
        <v>1.008</v>
      </c>
      <c r="J19" s="362">
        <v>1.01</v>
      </c>
      <c r="K19" s="362">
        <v>1.0049999999999999</v>
      </c>
      <c r="L19" s="362">
        <v>0.999</v>
      </c>
      <c r="M19" s="362" t="s">
        <v>34</v>
      </c>
      <c r="N19" s="362" t="s">
        <v>34</v>
      </c>
      <c r="O19" s="362" t="s">
        <v>34</v>
      </c>
      <c r="P19" s="362" t="s">
        <v>34</v>
      </c>
      <c r="Q19" s="362" t="s">
        <v>34</v>
      </c>
    </row>
    <row r="20" spans="1:17" ht="13.15" customHeight="1">
      <c r="A20" s="12">
        <f t="shared" si="0"/>
        <v>2011</v>
      </c>
      <c r="B20" s="362">
        <v>1.667</v>
      </c>
      <c r="C20" s="362">
        <v>1.222</v>
      </c>
      <c r="D20" s="362">
        <v>1.125</v>
      </c>
      <c r="E20" s="362">
        <v>1.069</v>
      </c>
      <c r="F20" s="362">
        <v>1.034</v>
      </c>
      <c r="G20" s="362">
        <v>1.016</v>
      </c>
      <c r="H20" s="362">
        <v>1.01</v>
      </c>
      <c r="I20" s="362">
        <v>1.01</v>
      </c>
      <c r="J20" s="362">
        <v>1.002</v>
      </c>
      <c r="K20" s="362">
        <v>1.004</v>
      </c>
      <c r="L20" s="362" t="s">
        <v>34</v>
      </c>
      <c r="M20" s="362" t="s">
        <v>34</v>
      </c>
      <c r="N20" s="362" t="s">
        <v>34</v>
      </c>
      <c r="O20" s="362" t="s">
        <v>34</v>
      </c>
      <c r="P20" s="362" t="s">
        <v>34</v>
      </c>
      <c r="Q20" s="362" t="s">
        <v>34</v>
      </c>
    </row>
    <row r="21" spans="1:17" ht="13.15" customHeight="1">
      <c r="A21" s="12">
        <f t="shared" si="0"/>
        <v>2012</v>
      </c>
      <c r="B21" s="362">
        <v>1.5920000000000001</v>
      </c>
      <c r="C21" s="362">
        <v>1.1879999999999999</v>
      </c>
      <c r="D21" s="362">
        <v>1.0920000000000001</v>
      </c>
      <c r="E21" s="362">
        <v>1.056</v>
      </c>
      <c r="F21" s="362">
        <v>1.0309999999999999</v>
      </c>
      <c r="G21" s="362">
        <v>1.0149999999999999</v>
      </c>
      <c r="H21" s="362">
        <v>1.0149999999999999</v>
      </c>
      <c r="I21" s="362">
        <v>1.006</v>
      </c>
      <c r="J21" s="362">
        <v>1.0049999999999999</v>
      </c>
      <c r="K21" s="362" t="s">
        <v>34</v>
      </c>
      <c r="L21" s="362" t="s">
        <v>34</v>
      </c>
      <c r="M21" s="362" t="s">
        <v>34</v>
      </c>
      <c r="N21" s="362" t="s">
        <v>34</v>
      </c>
      <c r="O21" s="362" t="s">
        <v>34</v>
      </c>
      <c r="P21" s="362" t="s">
        <v>34</v>
      </c>
      <c r="Q21" s="362" t="s">
        <v>34</v>
      </c>
    </row>
    <row r="22" spans="1:17" ht="13.15" customHeight="1">
      <c r="A22" s="12">
        <f t="shared" si="0"/>
        <v>2013</v>
      </c>
      <c r="B22" s="362">
        <v>1.5589999999999999</v>
      </c>
      <c r="C22" s="362">
        <v>1.1499999999999999</v>
      </c>
      <c r="D22" s="362">
        <v>1.0860000000000001</v>
      </c>
      <c r="E22" s="362">
        <v>1.0389999999999999</v>
      </c>
      <c r="F22" s="362">
        <v>1.022</v>
      </c>
      <c r="G22" s="362">
        <v>1.014</v>
      </c>
      <c r="H22" s="362">
        <v>1.006</v>
      </c>
      <c r="I22" s="362">
        <v>1.0009999999999999</v>
      </c>
      <c r="J22" s="362" t="s">
        <v>34</v>
      </c>
      <c r="K22" s="362" t="s">
        <v>34</v>
      </c>
      <c r="L22" s="362" t="s">
        <v>34</v>
      </c>
      <c r="M22" s="362" t="s">
        <v>34</v>
      </c>
      <c r="N22" s="362" t="s">
        <v>34</v>
      </c>
      <c r="O22" s="362" t="s">
        <v>34</v>
      </c>
      <c r="P22" s="362" t="s">
        <v>34</v>
      </c>
      <c r="Q22" s="362" t="s">
        <v>34</v>
      </c>
    </row>
    <row r="23" spans="1:17" ht="13.15" customHeight="1">
      <c r="A23" s="12">
        <f t="shared" si="0"/>
        <v>2014</v>
      </c>
      <c r="B23" s="362">
        <v>1.5229999999999999</v>
      </c>
      <c r="C23" s="362">
        <v>1.159</v>
      </c>
      <c r="D23" s="362">
        <v>1.079</v>
      </c>
      <c r="E23" s="362">
        <v>1.0349999999999999</v>
      </c>
      <c r="F23" s="362">
        <v>1.0269999999999999</v>
      </c>
      <c r="G23" s="362">
        <v>1.0109999999999999</v>
      </c>
      <c r="H23" s="362">
        <v>1.01</v>
      </c>
      <c r="I23" s="362" t="s">
        <v>34</v>
      </c>
      <c r="J23" s="362" t="s">
        <v>34</v>
      </c>
      <c r="K23" s="362" t="s">
        <v>34</v>
      </c>
      <c r="L23" s="362" t="s">
        <v>34</v>
      </c>
      <c r="M23" s="362" t="s">
        <v>34</v>
      </c>
      <c r="N23" s="362" t="s">
        <v>34</v>
      </c>
      <c r="O23" s="362" t="s">
        <v>34</v>
      </c>
      <c r="P23" s="362" t="s">
        <v>34</v>
      </c>
      <c r="Q23" s="362" t="s">
        <v>34</v>
      </c>
    </row>
    <row r="24" spans="1:17" ht="13.15" customHeight="1">
      <c r="A24" s="12">
        <f t="shared" si="0"/>
        <v>2015</v>
      </c>
      <c r="B24" s="362">
        <v>1.5109999999999999</v>
      </c>
      <c r="C24" s="362">
        <v>1.1459999999999999</v>
      </c>
      <c r="D24" s="362">
        <v>1.0640000000000001</v>
      </c>
      <c r="E24" s="362">
        <v>1.03</v>
      </c>
      <c r="F24" s="362">
        <v>1.018</v>
      </c>
      <c r="G24" s="362">
        <v>1.0069999999999999</v>
      </c>
      <c r="H24" s="362" t="s">
        <v>34</v>
      </c>
      <c r="I24" s="362" t="s">
        <v>34</v>
      </c>
      <c r="J24" s="362" t="s">
        <v>34</v>
      </c>
      <c r="K24" s="362" t="s">
        <v>34</v>
      </c>
      <c r="L24" s="362" t="s">
        <v>34</v>
      </c>
      <c r="M24" s="362" t="s">
        <v>34</v>
      </c>
      <c r="N24" s="362" t="s">
        <v>34</v>
      </c>
      <c r="O24" s="362" t="s">
        <v>34</v>
      </c>
      <c r="P24" s="362" t="s">
        <v>34</v>
      </c>
      <c r="Q24" s="362" t="s">
        <v>34</v>
      </c>
    </row>
    <row r="25" spans="1:17" ht="13.15" customHeight="1">
      <c r="A25" s="12">
        <f t="shared" si="0"/>
        <v>2016</v>
      </c>
      <c r="B25" s="362">
        <v>1.498</v>
      </c>
      <c r="C25" s="362">
        <v>1.1240000000000001</v>
      </c>
      <c r="D25" s="362">
        <v>1.0449999999999999</v>
      </c>
      <c r="E25" s="362">
        <v>1.0309999999999999</v>
      </c>
      <c r="F25" s="362">
        <v>1.0169999999999999</v>
      </c>
      <c r="G25" s="362" t="s">
        <v>34</v>
      </c>
      <c r="H25" s="362" t="s">
        <v>34</v>
      </c>
      <c r="I25" s="362" t="s">
        <v>34</v>
      </c>
      <c r="J25" s="362" t="s">
        <v>34</v>
      </c>
      <c r="K25" s="362" t="s">
        <v>34</v>
      </c>
      <c r="L25" s="362" t="s">
        <v>34</v>
      </c>
      <c r="M25" s="362" t="s">
        <v>34</v>
      </c>
      <c r="N25" s="362" t="s">
        <v>34</v>
      </c>
      <c r="O25" s="362" t="s">
        <v>34</v>
      </c>
      <c r="P25" s="362" t="s">
        <v>34</v>
      </c>
      <c r="Q25" s="362" t="s">
        <v>34</v>
      </c>
    </row>
    <row r="26" spans="1:17" ht="13.15" customHeight="1">
      <c r="A26" s="12">
        <f t="shared" si="0"/>
        <v>2017</v>
      </c>
      <c r="B26" s="362">
        <v>1.44</v>
      </c>
      <c r="C26" s="362">
        <v>1.117</v>
      </c>
      <c r="D26" s="362">
        <v>1.0509999999999999</v>
      </c>
      <c r="E26" s="362">
        <v>1.0269999999999999</v>
      </c>
      <c r="F26" s="362" t="s">
        <v>34</v>
      </c>
      <c r="G26" s="362" t="s">
        <v>34</v>
      </c>
      <c r="H26" s="362" t="s">
        <v>34</v>
      </c>
      <c r="I26" s="362" t="s">
        <v>34</v>
      </c>
      <c r="J26" s="362" t="s">
        <v>34</v>
      </c>
      <c r="K26" s="362" t="s">
        <v>34</v>
      </c>
      <c r="L26" s="362" t="s">
        <v>34</v>
      </c>
      <c r="M26" s="362" t="s">
        <v>34</v>
      </c>
      <c r="N26" s="362" t="s">
        <v>34</v>
      </c>
      <c r="O26" s="362" t="s">
        <v>34</v>
      </c>
      <c r="P26" s="362" t="s">
        <v>34</v>
      </c>
      <c r="Q26" s="362" t="s">
        <v>34</v>
      </c>
    </row>
    <row r="27" spans="1:17" ht="13.15" customHeight="1">
      <c r="A27" s="12">
        <f t="shared" si="0"/>
        <v>2018</v>
      </c>
      <c r="B27" s="362">
        <v>1.4490000000000001</v>
      </c>
      <c r="C27" s="362">
        <v>1.1100000000000001</v>
      </c>
      <c r="D27" s="362">
        <v>1.054</v>
      </c>
      <c r="E27" s="362" t="s">
        <v>34</v>
      </c>
      <c r="F27" s="362" t="s">
        <v>34</v>
      </c>
      <c r="G27" s="362" t="s">
        <v>34</v>
      </c>
      <c r="H27" s="362" t="s">
        <v>34</v>
      </c>
      <c r="I27" s="362" t="s">
        <v>34</v>
      </c>
      <c r="J27" s="362" t="s">
        <v>34</v>
      </c>
      <c r="K27" s="362" t="s">
        <v>34</v>
      </c>
      <c r="L27" s="362" t="s">
        <v>34</v>
      </c>
      <c r="M27" s="362" t="s">
        <v>34</v>
      </c>
      <c r="N27" s="362" t="s">
        <v>34</v>
      </c>
      <c r="O27" s="362" t="s">
        <v>34</v>
      </c>
      <c r="P27" s="362" t="s">
        <v>34</v>
      </c>
      <c r="Q27" s="362" t="s">
        <v>34</v>
      </c>
    </row>
    <row r="28" spans="1:17" ht="13.15" customHeight="1">
      <c r="A28" s="12">
        <f t="shared" si="0"/>
        <v>2019</v>
      </c>
      <c r="B28" s="362">
        <v>1.452</v>
      </c>
      <c r="C28" s="362">
        <v>1.1240000000000001</v>
      </c>
      <c r="D28" s="362" t="s">
        <v>34</v>
      </c>
      <c r="E28" s="362" t="s">
        <v>34</v>
      </c>
      <c r="F28" s="362" t="s">
        <v>34</v>
      </c>
      <c r="G28" s="362" t="s">
        <v>34</v>
      </c>
      <c r="H28" s="362" t="s">
        <v>34</v>
      </c>
      <c r="I28" s="362" t="s">
        <v>34</v>
      </c>
      <c r="J28" s="362" t="s">
        <v>34</v>
      </c>
      <c r="K28" s="362" t="s">
        <v>34</v>
      </c>
      <c r="L28" s="362" t="s">
        <v>34</v>
      </c>
      <c r="M28" s="362" t="s">
        <v>34</v>
      </c>
      <c r="N28" s="362" t="s">
        <v>34</v>
      </c>
      <c r="O28" s="362" t="s">
        <v>34</v>
      </c>
      <c r="P28" s="362" t="s">
        <v>34</v>
      </c>
      <c r="Q28" s="362" t="s">
        <v>34</v>
      </c>
    </row>
    <row r="29" spans="1:17" ht="13.15" customHeight="1">
      <c r="A29" s="12">
        <f>'Exhibit 2.1.1'!A29</f>
        <v>2020</v>
      </c>
      <c r="B29" s="362">
        <v>1.446</v>
      </c>
      <c r="C29" s="362" t="s">
        <v>34</v>
      </c>
      <c r="D29" s="362" t="s">
        <v>34</v>
      </c>
      <c r="E29" s="362" t="s">
        <v>34</v>
      </c>
      <c r="F29" s="362" t="s">
        <v>34</v>
      </c>
      <c r="G29" s="362" t="s">
        <v>34</v>
      </c>
      <c r="H29" s="362" t="s">
        <v>34</v>
      </c>
      <c r="I29" s="362" t="s">
        <v>34</v>
      </c>
      <c r="J29" s="362" t="s">
        <v>34</v>
      </c>
      <c r="K29" s="362" t="s">
        <v>34</v>
      </c>
      <c r="L29" s="362" t="s">
        <v>34</v>
      </c>
      <c r="M29" s="362" t="s">
        <v>34</v>
      </c>
      <c r="N29" s="362" t="s">
        <v>34</v>
      </c>
      <c r="O29" s="362" t="s">
        <v>34</v>
      </c>
      <c r="P29" s="362" t="s">
        <v>34</v>
      </c>
      <c r="Q29" s="362" t="s">
        <v>34</v>
      </c>
    </row>
    <row r="30" spans="1:17" ht="13.15" customHeight="1">
      <c r="A30" s="12"/>
      <c r="B30" s="13"/>
      <c r="C30" s="13"/>
      <c r="D30" s="13"/>
      <c r="E30" s="13"/>
      <c r="F30" s="13"/>
      <c r="G30" s="13"/>
      <c r="H30" s="13"/>
      <c r="I30" s="13"/>
      <c r="J30" s="13"/>
      <c r="K30" s="13"/>
      <c r="L30" s="13"/>
      <c r="M30" s="13"/>
      <c r="N30" s="13"/>
      <c r="O30" s="13"/>
      <c r="P30" s="13"/>
      <c r="Q30" s="13"/>
    </row>
    <row r="31" spans="1:17" ht="13.15" customHeight="1">
      <c r="A31" s="12" t="s">
        <v>20</v>
      </c>
      <c r="B31" s="374">
        <f>+ROUND(B29,3)</f>
        <v>1.446</v>
      </c>
      <c r="C31" s="374">
        <f>+ROUND(C28,3)</f>
        <v>1.1240000000000001</v>
      </c>
      <c r="D31" s="374">
        <f>ROUND(D27,3)</f>
        <v>1.054</v>
      </c>
      <c r="E31" s="374">
        <f>ROUND(E26,3)</f>
        <v>1.0269999999999999</v>
      </c>
      <c r="F31" s="374">
        <f>ROUND(F25,3)</f>
        <v>1.0169999999999999</v>
      </c>
      <c r="G31" s="374">
        <f>ROUND(G24,3)</f>
        <v>1.0069999999999999</v>
      </c>
      <c r="H31" s="374">
        <f>ROUND(H23,3)</f>
        <v>1.01</v>
      </c>
      <c r="I31" s="374">
        <f>ROUND(I22,3)</f>
        <v>1.0009999999999999</v>
      </c>
      <c r="J31" s="374">
        <f>AVERAGE(J16:J21)</f>
        <v>1.0053333333333332</v>
      </c>
      <c r="K31" s="374">
        <f>AVERAGE(K15:K20)</f>
        <v>1.0044999999999999</v>
      </c>
      <c r="L31" s="374">
        <f>AVERAGE(L14:L19)</f>
        <v>1.0021666666666664</v>
      </c>
      <c r="M31" s="374">
        <f>AVERAGE(M13:M18)</f>
        <v>1.002</v>
      </c>
      <c r="N31" s="374">
        <f>AVERAGE(N12:N17)</f>
        <v>0.99799999999999989</v>
      </c>
      <c r="O31" s="374">
        <f>AVERAGE(O11:O16)</f>
        <v>0.99949999999999994</v>
      </c>
      <c r="P31" s="374">
        <f>AVERAGE(P10:P15)</f>
        <v>1</v>
      </c>
      <c r="Q31" s="374">
        <f>AVERAGE(Q9:Q14)</f>
        <v>0.9986666666666667</v>
      </c>
    </row>
    <row r="32" spans="1:17" ht="13.15" customHeight="1">
      <c r="A32" s="12" t="s">
        <v>21</v>
      </c>
      <c r="B32" s="13">
        <f t="shared" ref="B32:O32" si="1">C32*B31</f>
        <v>1.8286802695194153</v>
      </c>
      <c r="C32" s="13">
        <f t="shared" si="1"/>
        <v>1.2646474892942015</v>
      </c>
      <c r="D32" s="13">
        <f t="shared" si="1"/>
        <v>1.1251312182332751</v>
      </c>
      <c r="E32" s="13">
        <f t="shared" si="1"/>
        <v>1.0674869243199954</v>
      </c>
      <c r="F32" s="13">
        <f t="shared" si="1"/>
        <v>1.039422516377795</v>
      </c>
      <c r="G32" s="13">
        <f t="shared" si="1"/>
        <v>1.0220477053862291</v>
      </c>
      <c r="H32" s="13">
        <f t="shared" si="1"/>
        <v>1.0149431036606049</v>
      </c>
      <c r="I32" s="13">
        <f t="shared" si="1"/>
        <v>1.004894162040203</v>
      </c>
      <c r="J32" s="13">
        <f t="shared" si="1"/>
        <v>1.0038902717684346</v>
      </c>
      <c r="K32" s="13">
        <f t="shared" si="1"/>
        <v>0.99856459393411945</v>
      </c>
      <c r="L32" s="13">
        <f t="shared" si="1"/>
        <v>0.99409118360788407</v>
      </c>
      <c r="M32" s="13">
        <f t="shared" si="1"/>
        <v>0.99194197599323231</v>
      </c>
      <c r="N32" s="13">
        <f t="shared" si="1"/>
        <v>0.98996205188945341</v>
      </c>
      <c r="O32" s="13">
        <f t="shared" si="1"/>
        <v>0.99194594377700751</v>
      </c>
      <c r="P32" s="13">
        <f>Q32*P31</f>
        <v>0.99244216485943726</v>
      </c>
      <c r="Q32" s="13">
        <f>'Exhibit 2.2.2'!B30*'Exhibit 2.2.1'!Q31</f>
        <v>0.99244216485943726</v>
      </c>
    </row>
    <row r="33" spans="1:16" ht="13.15" customHeight="1">
      <c r="A33" s="119"/>
      <c r="B33" s="119"/>
      <c r="C33" s="119"/>
      <c r="D33" s="119"/>
      <c r="E33" s="119"/>
      <c r="F33" s="119"/>
      <c r="G33" s="119"/>
      <c r="H33" s="119"/>
      <c r="I33" s="119"/>
      <c r="J33" s="119"/>
      <c r="K33" s="119"/>
      <c r="L33" s="119"/>
      <c r="M33" s="119"/>
      <c r="N33" s="119"/>
      <c r="O33" s="119"/>
      <c r="P33" s="119"/>
    </row>
    <row r="34" spans="1:16" ht="13.15" customHeight="1">
      <c r="A34" s="15" t="s">
        <v>22</v>
      </c>
      <c r="B34" s="152" t="s">
        <v>444</v>
      </c>
      <c r="C34" s="149"/>
      <c r="D34" s="149"/>
      <c r="E34" s="149"/>
      <c r="F34" s="149"/>
      <c r="G34" s="149"/>
      <c r="H34" s="149"/>
      <c r="I34" s="149"/>
      <c r="J34" s="149"/>
      <c r="K34" s="149"/>
      <c r="L34" s="149"/>
      <c r="M34" s="149"/>
      <c r="N34" s="149"/>
      <c r="O34" s="149"/>
      <c r="P34" s="149"/>
    </row>
    <row r="35" spans="1:16">
      <c r="A35" s="15" t="s">
        <v>28</v>
      </c>
      <c r="B35" s="150" t="s">
        <v>287</v>
      </c>
      <c r="C35" s="151"/>
      <c r="D35" s="151"/>
      <c r="E35" s="151"/>
      <c r="F35" s="151"/>
      <c r="G35" s="151"/>
      <c r="H35" s="151"/>
      <c r="I35" s="151"/>
      <c r="J35" s="151"/>
      <c r="K35" s="151"/>
      <c r="L35" s="151"/>
      <c r="M35" s="151"/>
      <c r="N35" s="151"/>
      <c r="O35" s="151"/>
      <c r="P35" s="151"/>
    </row>
  </sheetData>
  <pageMargins left="0.7" right="0.7" top="0.75" bottom="0.75" header="0.3" footer="0.3"/>
  <pageSetup scale="88" orientation="landscape" blackAndWhite="1" horizontalDpi="1200" verticalDpi="1200"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V32"/>
  <sheetViews>
    <sheetView zoomScaleNormal="100" workbookViewId="0"/>
  </sheetViews>
  <sheetFormatPr defaultColWidth="9.140625" defaultRowHeight="12.75"/>
  <cols>
    <col min="1" max="1" width="13.140625" style="108" customWidth="1"/>
    <col min="2" max="21" width="7.7109375" style="108" customWidth="1"/>
    <col min="22" max="22" width="13.140625" style="110" bestFit="1" customWidth="1"/>
    <col min="23" max="16384" width="9.140625" style="108"/>
  </cols>
  <sheetData>
    <row r="1" spans="1:22" ht="15" customHeight="1">
      <c r="A1" s="240" t="s">
        <v>29</v>
      </c>
      <c r="B1" s="240"/>
      <c r="C1" s="240"/>
      <c r="D1" s="240"/>
      <c r="E1" s="240"/>
      <c r="F1" s="240"/>
      <c r="G1" s="240"/>
      <c r="H1" s="240"/>
      <c r="I1" s="240"/>
      <c r="J1" s="240"/>
      <c r="K1" s="240"/>
      <c r="L1" s="240"/>
      <c r="M1" s="240"/>
      <c r="N1" s="240"/>
      <c r="O1" s="240"/>
      <c r="P1" s="240"/>
      <c r="Q1" s="240"/>
      <c r="R1" s="240"/>
      <c r="S1" s="240"/>
      <c r="T1" s="240"/>
      <c r="U1" s="240"/>
      <c r="V1" s="166"/>
    </row>
    <row r="2" spans="1:22">
      <c r="A2" s="217"/>
      <c r="B2" s="217"/>
      <c r="C2" s="217"/>
      <c r="D2" s="217"/>
      <c r="E2" s="217"/>
      <c r="F2" s="217"/>
      <c r="G2" s="217"/>
      <c r="H2" s="217"/>
      <c r="I2" s="217"/>
      <c r="J2" s="217"/>
      <c r="K2" s="217"/>
      <c r="L2" s="217"/>
      <c r="M2" s="217"/>
      <c r="N2" s="217"/>
      <c r="O2" s="217"/>
      <c r="P2" s="217"/>
      <c r="Q2" s="217"/>
      <c r="R2" s="217"/>
      <c r="S2" s="285"/>
      <c r="T2" s="285"/>
      <c r="U2" s="285"/>
    </row>
    <row r="3" spans="1:22">
      <c r="A3" s="220"/>
      <c r="B3" s="242" t="s">
        <v>18</v>
      </c>
      <c r="C3" s="242"/>
      <c r="D3" s="242"/>
      <c r="E3" s="242"/>
      <c r="F3" s="242"/>
      <c r="G3" s="242"/>
      <c r="H3" s="242"/>
      <c r="I3" s="242"/>
      <c r="J3" s="242"/>
      <c r="K3" s="242"/>
      <c r="L3" s="242"/>
      <c r="M3" s="242"/>
      <c r="N3" s="242"/>
      <c r="O3" s="242"/>
      <c r="P3" s="242"/>
      <c r="Q3" s="242"/>
      <c r="R3" s="242"/>
      <c r="S3" s="242"/>
      <c r="T3" s="242"/>
      <c r="U3" s="242"/>
      <c r="V3" s="132"/>
    </row>
    <row r="4" spans="1:22">
      <c r="A4" s="11" t="s">
        <v>19</v>
      </c>
      <c r="B4" s="11" t="s">
        <v>461</v>
      </c>
      <c r="C4" s="11" t="s">
        <v>462</v>
      </c>
      <c r="D4" s="11" t="s">
        <v>463</v>
      </c>
      <c r="E4" s="11" t="s">
        <v>464</v>
      </c>
      <c r="F4" s="11" t="s">
        <v>465</v>
      </c>
      <c r="G4" s="11" t="s">
        <v>466</v>
      </c>
      <c r="H4" s="11" t="s">
        <v>467</v>
      </c>
      <c r="I4" s="11" t="s">
        <v>468</v>
      </c>
      <c r="J4" s="11" t="s">
        <v>469</v>
      </c>
      <c r="K4" s="11" t="s">
        <v>470</v>
      </c>
      <c r="L4" s="11" t="s">
        <v>471</v>
      </c>
      <c r="M4" s="11" t="s">
        <v>472</v>
      </c>
      <c r="N4" s="11" t="s">
        <v>473</v>
      </c>
      <c r="O4" s="11" t="s">
        <v>474</v>
      </c>
      <c r="P4" s="11" t="s">
        <v>475</v>
      </c>
      <c r="Q4" s="11" t="s">
        <v>476</v>
      </c>
      <c r="R4" s="11" t="s">
        <v>477</v>
      </c>
      <c r="S4" s="11" t="s">
        <v>478</v>
      </c>
      <c r="T4" s="11" t="s">
        <v>479</v>
      </c>
      <c r="U4" s="11" t="s">
        <v>507</v>
      </c>
      <c r="V4" s="11" t="s">
        <v>510</v>
      </c>
    </row>
    <row r="5" spans="1:22">
      <c r="A5" s="12">
        <f t="shared" ref="A5:A25" si="0">+A6-1</f>
        <v>1983</v>
      </c>
      <c r="B5" s="362" t="s">
        <v>34</v>
      </c>
      <c r="C5" s="362" t="s">
        <v>34</v>
      </c>
      <c r="D5" s="362" t="s">
        <v>34</v>
      </c>
      <c r="E5" s="362" t="s">
        <v>34</v>
      </c>
      <c r="F5" s="362" t="s">
        <v>34</v>
      </c>
      <c r="G5" s="362" t="s">
        <v>34</v>
      </c>
      <c r="H5" s="362" t="s">
        <v>34</v>
      </c>
      <c r="I5" s="362" t="s">
        <v>34</v>
      </c>
      <c r="J5" s="362">
        <v>1.006</v>
      </c>
      <c r="K5" s="362">
        <v>1.004</v>
      </c>
      <c r="L5" s="362">
        <v>1.002</v>
      </c>
      <c r="M5" s="362">
        <v>1.006</v>
      </c>
      <c r="N5" s="362">
        <v>1.0029999999999999</v>
      </c>
      <c r="O5" s="362">
        <v>1.004</v>
      </c>
      <c r="P5" s="362">
        <v>1.0029999999999999</v>
      </c>
      <c r="Q5" s="362">
        <v>0.997</v>
      </c>
      <c r="R5" s="362">
        <v>0.999</v>
      </c>
      <c r="S5" s="362">
        <v>0.998</v>
      </c>
      <c r="T5" s="362">
        <v>1.0009999999999999</v>
      </c>
      <c r="U5" s="362">
        <v>1.0009999999999999</v>
      </c>
      <c r="V5" s="21"/>
    </row>
    <row r="6" spans="1:22">
      <c r="A6" s="12">
        <f t="shared" si="0"/>
        <v>1984</v>
      </c>
      <c r="B6" s="362" t="s">
        <v>34</v>
      </c>
      <c r="C6" s="362" t="s">
        <v>34</v>
      </c>
      <c r="D6" s="362" t="s">
        <v>34</v>
      </c>
      <c r="E6" s="362" t="s">
        <v>34</v>
      </c>
      <c r="F6" s="362" t="s">
        <v>34</v>
      </c>
      <c r="G6" s="362" t="s">
        <v>34</v>
      </c>
      <c r="H6" s="362" t="s">
        <v>34</v>
      </c>
      <c r="I6" s="362">
        <v>1.0029999999999999</v>
      </c>
      <c r="J6" s="362">
        <v>1.0029999999999999</v>
      </c>
      <c r="K6" s="362">
        <v>1.002</v>
      </c>
      <c r="L6" s="362">
        <v>1.0029999999999999</v>
      </c>
      <c r="M6" s="362">
        <v>1.0009999999999999</v>
      </c>
      <c r="N6" s="362">
        <v>1.0029999999999999</v>
      </c>
      <c r="O6" s="362">
        <v>1.0009999999999999</v>
      </c>
      <c r="P6" s="362">
        <v>0.997</v>
      </c>
      <c r="Q6" s="362">
        <v>1</v>
      </c>
      <c r="R6" s="362">
        <v>1.0009999999999999</v>
      </c>
      <c r="S6" s="362">
        <v>1</v>
      </c>
      <c r="T6" s="362">
        <v>1</v>
      </c>
      <c r="U6" s="362">
        <v>0.998</v>
      </c>
      <c r="V6" s="21"/>
    </row>
    <row r="7" spans="1:22">
      <c r="A7" s="12">
        <f t="shared" si="0"/>
        <v>1985</v>
      </c>
      <c r="B7" s="362" t="s">
        <v>34</v>
      </c>
      <c r="C7" s="362" t="s">
        <v>34</v>
      </c>
      <c r="D7" s="362" t="s">
        <v>34</v>
      </c>
      <c r="E7" s="362" t="s">
        <v>34</v>
      </c>
      <c r="F7" s="362" t="s">
        <v>34</v>
      </c>
      <c r="G7" s="362" t="s">
        <v>34</v>
      </c>
      <c r="H7" s="362">
        <v>1.0009999999999999</v>
      </c>
      <c r="I7" s="362">
        <v>1.0029999999999999</v>
      </c>
      <c r="J7" s="362">
        <v>1.0029999999999999</v>
      </c>
      <c r="K7" s="362">
        <v>1.0029999999999999</v>
      </c>
      <c r="L7" s="362">
        <v>1.0049999999999999</v>
      </c>
      <c r="M7" s="362">
        <v>1.002</v>
      </c>
      <c r="N7" s="362">
        <v>1.0029999999999999</v>
      </c>
      <c r="O7" s="362">
        <v>0.998</v>
      </c>
      <c r="P7" s="362">
        <v>0.999</v>
      </c>
      <c r="Q7" s="362">
        <v>0.999</v>
      </c>
      <c r="R7" s="362">
        <v>1</v>
      </c>
      <c r="S7" s="362">
        <v>1.0009999999999999</v>
      </c>
      <c r="T7" s="362">
        <v>1</v>
      </c>
      <c r="U7" s="362">
        <v>1</v>
      </c>
      <c r="V7" s="21"/>
    </row>
    <row r="8" spans="1:22">
      <c r="A8" s="12">
        <f t="shared" si="0"/>
        <v>1986</v>
      </c>
      <c r="B8" s="362" t="s">
        <v>34</v>
      </c>
      <c r="C8" s="362" t="s">
        <v>34</v>
      </c>
      <c r="D8" s="362" t="s">
        <v>34</v>
      </c>
      <c r="E8" s="362" t="s">
        <v>34</v>
      </c>
      <c r="F8" s="362" t="s">
        <v>34</v>
      </c>
      <c r="G8" s="362">
        <v>1.0029999999999999</v>
      </c>
      <c r="H8" s="362">
        <v>1.006</v>
      </c>
      <c r="I8" s="362">
        <v>1.0049999999999999</v>
      </c>
      <c r="J8" s="362">
        <v>1.006</v>
      </c>
      <c r="K8" s="362">
        <v>1.004</v>
      </c>
      <c r="L8" s="362">
        <v>1.0049999999999999</v>
      </c>
      <c r="M8" s="362">
        <v>1</v>
      </c>
      <c r="N8" s="362">
        <v>1.002</v>
      </c>
      <c r="O8" s="362">
        <v>0.998</v>
      </c>
      <c r="P8" s="362">
        <v>1.0009999999999999</v>
      </c>
      <c r="Q8" s="362">
        <v>1.006</v>
      </c>
      <c r="R8" s="362">
        <v>0.99399999999999999</v>
      </c>
      <c r="S8" s="362">
        <v>1.002</v>
      </c>
      <c r="T8" s="362">
        <v>1.0009999999999999</v>
      </c>
      <c r="U8" s="362" t="s">
        <v>34</v>
      </c>
      <c r="V8" s="21"/>
    </row>
    <row r="9" spans="1:22">
      <c r="A9" s="12">
        <f t="shared" si="0"/>
        <v>1987</v>
      </c>
      <c r="B9" s="362" t="s">
        <v>34</v>
      </c>
      <c r="C9" s="362" t="s">
        <v>34</v>
      </c>
      <c r="D9" s="362" t="s">
        <v>34</v>
      </c>
      <c r="E9" s="362" t="s">
        <v>34</v>
      </c>
      <c r="F9" s="362">
        <v>1.0029999999999999</v>
      </c>
      <c r="G9" s="362">
        <v>1.0109999999999999</v>
      </c>
      <c r="H9" s="362">
        <v>0.999</v>
      </c>
      <c r="I9" s="362">
        <v>1.0069999999999999</v>
      </c>
      <c r="J9" s="362">
        <v>1.0029999999999999</v>
      </c>
      <c r="K9" s="362">
        <v>1.004</v>
      </c>
      <c r="L9" s="362">
        <v>1.0049999999999999</v>
      </c>
      <c r="M9" s="362">
        <v>1.0009999999999999</v>
      </c>
      <c r="N9" s="362">
        <v>0.997</v>
      </c>
      <c r="O9" s="362">
        <v>1.0009999999999999</v>
      </c>
      <c r="P9" s="362">
        <v>1</v>
      </c>
      <c r="Q9" s="362">
        <v>1.0049999999999999</v>
      </c>
      <c r="R9" s="362">
        <v>1.002</v>
      </c>
      <c r="S9" s="362">
        <v>0.999</v>
      </c>
      <c r="T9" s="362" t="s">
        <v>34</v>
      </c>
      <c r="U9" s="362" t="s">
        <v>34</v>
      </c>
      <c r="V9" s="21"/>
    </row>
    <row r="10" spans="1:22">
      <c r="A10" s="12">
        <f t="shared" si="0"/>
        <v>1988</v>
      </c>
      <c r="B10" s="362" t="s">
        <v>34</v>
      </c>
      <c r="C10" s="362" t="s">
        <v>34</v>
      </c>
      <c r="D10" s="362" t="s">
        <v>34</v>
      </c>
      <c r="E10" s="362">
        <v>1.006</v>
      </c>
      <c r="F10" s="362">
        <v>1.0049999999999999</v>
      </c>
      <c r="G10" s="362">
        <v>1.0049999999999999</v>
      </c>
      <c r="H10" s="362">
        <v>1.002</v>
      </c>
      <c r="I10" s="362">
        <v>1.0049999999999999</v>
      </c>
      <c r="J10" s="362">
        <v>1.0029999999999999</v>
      </c>
      <c r="K10" s="362">
        <v>1.0029999999999999</v>
      </c>
      <c r="L10" s="362">
        <v>1.002</v>
      </c>
      <c r="M10" s="362">
        <v>0.998</v>
      </c>
      <c r="N10" s="362">
        <v>0.999</v>
      </c>
      <c r="O10" s="362">
        <v>1</v>
      </c>
      <c r="P10" s="362">
        <v>1.0009999999999999</v>
      </c>
      <c r="Q10" s="362">
        <v>1.0009999999999999</v>
      </c>
      <c r="R10" s="362">
        <v>1</v>
      </c>
      <c r="S10" s="362" t="s">
        <v>34</v>
      </c>
      <c r="T10" s="362" t="s">
        <v>34</v>
      </c>
      <c r="U10" s="362" t="s">
        <v>34</v>
      </c>
      <c r="V10" s="21"/>
    </row>
    <row r="11" spans="1:22">
      <c r="A11" s="12">
        <f t="shared" si="0"/>
        <v>1989</v>
      </c>
      <c r="B11" s="362" t="s">
        <v>34</v>
      </c>
      <c r="C11" s="362" t="s">
        <v>34</v>
      </c>
      <c r="D11" s="362">
        <v>1.006</v>
      </c>
      <c r="E11" s="362">
        <v>1.0049999999999999</v>
      </c>
      <c r="F11" s="362">
        <v>1.0049999999999999</v>
      </c>
      <c r="G11" s="362">
        <v>1.008</v>
      </c>
      <c r="H11" s="362">
        <v>1.006</v>
      </c>
      <c r="I11" s="362">
        <v>1</v>
      </c>
      <c r="J11" s="362">
        <v>1.0029999999999999</v>
      </c>
      <c r="K11" s="362">
        <v>0.999</v>
      </c>
      <c r="L11" s="362">
        <v>0.999</v>
      </c>
      <c r="M11" s="362">
        <v>0.999</v>
      </c>
      <c r="N11" s="362">
        <v>0.999</v>
      </c>
      <c r="O11" s="362">
        <v>1.002</v>
      </c>
      <c r="P11" s="362">
        <v>0.999</v>
      </c>
      <c r="Q11" s="362">
        <v>1</v>
      </c>
      <c r="R11" s="362" t="s">
        <v>34</v>
      </c>
      <c r="S11" s="362" t="s">
        <v>34</v>
      </c>
      <c r="T11" s="362" t="s">
        <v>34</v>
      </c>
      <c r="U11" s="362" t="s">
        <v>34</v>
      </c>
      <c r="V11" s="21"/>
    </row>
    <row r="12" spans="1:22">
      <c r="A12" s="12">
        <f t="shared" si="0"/>
        <v>1990</v>
      </c>
      <c r="B12" s="362" t="s">
        <v>34</v>
      </c>
      <c r="C12" s="362">
        <v>1.0069999999999999</v>
      </c>
      <c r="D12" s="362">
        <v>1.0069999999999999</v>
      </c>
      <c r="E12" s="362">
        <v>1.0049999999999999</v>
      </c>
      <c r="F12" s="362">
        <v>1.0029999999999999</v>
      </c>
      <c r="G12" s="362">
        <v>1.0029999999999999</v>
      </c>
      <c r="H12" s="362">
        <v>1.0029999999999999</v>
      </c>
      <c r="I12" s="362">
        <v>0.997</v>
      </c>
      <c r="J12" s="362">
        <v>1.002</v>
      </c>
      <c r="K12" s="362">
        <v>1</v>
      </c>
      <c r="L12" s="362">
        <v>1</v>
      </c>
      <c r="M12" s="362">
        <v>0.998</v>
      </c>
      <c r="N12" s="362">
        <v>0.999</v>
      </c>
      <c r="O12" s="362">
        <v>1</v>
      </c>
      <c r="P12" s="362">
        <v>1</v>
      </c>
      <c r="Q12" s="362" t="s">
        <v>34</v>
      </c>
      <c r="R12" s="362" t="s">
        <v>34</v>
      </c>
      <c r="S12" s="362" t="s">
        <v>34</v>
      </c>
      <c r="T12" s="362" t="s">
        <v>34</v>
      </c>
      <c r="U12" s="362" t="s">
        <v>34</v>
      </c>
      <c r="V12" s="21"/>
    </row>
    <row r="13" spans="1:22">
      <c r="A13" s="12">
        <f t="shared" si="0"/>
        <v>1991</v>
      </c>
      <c r="B13" s="362">
        <v>1.008</v>
      </c>
      <c r="C13" s="362">
        <v>1.0049999999999999</v>
      </c>
      <c r="D13" s="362">
        <v>1.006</v>
      </c>
      <c r="E13" s="362">
        <v>1.002</v>
      </c>
      <c r="F13" s="362">
        <v>1.0029999999999999</v>
      </c>
      <c r="G13" s="362">
        <v>1.002</v>
      </c>
      <c r="H13" s="362">
        <v>1.0029999999999999</v>
      </c>
      <c r="I13" s="362">
        <v>1.0009999999999999</v>
      </c>
      <c r="J13" s="362">
        <v>1</v>
      </c>
      <c r="K13" s="362">
        <v>0.999</v>
      </c>
      <c r="L13" s="362">
        <v>0.998</v>
      </c>
      <c r="M13" s="362">
        <v>1</v>
      </c>
      <c r="N13" s="362">
        <v>1.0009999999999999</v>
      </c>
      <c r="O13" s="362">
        <v>1.0009999999999999</v>
      </c>
      <c r="P13" s="362" t="s">
        <v>34</v>
      </c>
      <c r="Q13" s="362" t="s">
        <v>34</v>
      </c>
      <c r="R13" s="362" t="s">
        <v>34</v>
      </c>
      <c r="S13" s="362" t="s">
        <v>34</v>
      </c>
      <c r="T13" s="362" t="s">
        <v>34</v>
      </c>
      <c r="U13" s="362" t="s">
        <v>34</v>
      </c>
      <c r="V13" s="21"/>
    </row>
    <row r="14" spans="1:22">
      <c r="A14" s="12">
        <f t="shared" si="0"/>
        <v>1992</v>
      </c>
      <c r="B14" s="362">
        <v>1.0049999999999999</v>
      </c>
      <c r="C14" s="362">
        <v>1.004</v>
      </c>
      <c r="D14" s="362">
        <v>1.002</v>
      </c>
      <c r="E14" s="362">
        <v>1.0049999999999999</v>
      </c>
      <c r="F14" s="362">
        <v>1.0029999999999999</v>
      </c>
      <c r="G14" s="362">
        <v>1.0049999999999999</v>
      </c>
      <c r="H14" s="362">
        <v>1</v>
      </c>
      <c r="I14" s="362">
        <v>0.999</v>
      </c>
      <c r="J14" s="362">
        <v>1.0009999999999999</v>
      </c>
      <c r="K14" s="362">
        <v>0.999</v>
      </c>
      <c r="L14" s="362">
        <v>1.002</v>
      </c>
      <c r="M14" s="362">
        <v>0.999</v>
      </c>
      <c r="N14" s="362">
        <v>0.999</v>
      </c>
      <c r="O14" s="362" t="s">
        <v>34</v>
      </c>
      <c r="P14" s="362" t="s">
        <v>34</v>
      </c>
      <c r="Q14" s="362" t="s">
        <v>34</v>
      </c>
      <c r="R14" s="362" t="s">
        <v>34</v>
      </c>
      <c r="S14" s="362" t="s">
        <v>34</v>
      </c>
      <c r="T14" s="362" t="s">
        <v>34</v>
      </c>
      <c r="U14" s="362" t="s">
        <v>34</v>
      </c>
    </row>
    <row r="15" spans="1:22" ht="12.75" customHeight="1">
      <c r="A15" s="12">
        <f t="shared" si="0"/>
        <v>1993</v>
      </c>
      <c r="B15" s="362">
        <v>1.0069999999999999</v>
      </c>
      <c r="C15" s="362">
        <v>1.0109999999999999</v>
      </c>
      <c r="D15" s="362">
        <v>1.014</v>
      </c>
      <c r="E15" s="362">
        <v>1.004</v>
      </c>
      <c r="F15" s="362">
        <v>0.999</v>
      </c>
      <c r="G15" s="362">
        <v>1</v>
      </c>
      <c r="H15" s="362">
        <v>0.996</v>
      </c>
      <c r="I15" s="362">
        <v>0.999</v>
      </c>
      <c r="J15" s="362">
        <v>0.998</v>
      </c>
      <c r="K15" s="362">
        <v>0.998</v>
      </c>
      <c r="L15" s="362">
        <v>0.997</v>
      </c>
      <c r="M15" s="362">
        <v>0.998</v>
      </c>
      <c r="N15" s="362" t="s">
        <v>34</v>
      </c>
      <c r="O15" s="362" t="s">
        <v>34</v>
      </c>
      <c r="P15" s="362" t="s">
        <v>34</v>
      </c>
      <c r="Q15" s="362" t="s">
        <v>34</v>
      </c>
      <c r="R15" s="362" t="s">
        <v>34</v>
      </c>
      <c r="S15" s="362" t="s">
        <v>34</v>
      </c>
      <c r="T15" s="362" t="s">
        <v>34</v>
      </c>
      <c r="U15" s="362" t="s">
        <v>34</v>
      </c>
    </row>
    <row r="16" spans="1:22" ht="12.75" customHeight="1">
      <c r="A16" s="12">
        <f t="shared" si="0"/>
        <v>1994</v>
      </c>
      <c r="B16" s="362">
        <v>1.0109999999999999</v>
      </c>
      <c r="C16" s="362">
        <v>1.004</v>
      </c>
      <c r="D16" s="362">
        <v>1.0069999999999999</v>
      </c>
      <c r="E16" s="362">
        <v>1.006</v>
      </c>
      <c r="F16" s="362">
        <v>1.0009999999999999</v>
      </c>
      <c r="G16" s="362">
        <v>0.996</v>
      </c>
      <c r="H16" s="362">
        <v>0.995</v>
      </c>
      <c r="I16" s="362">
        <v>1.002</v>
      </c>
      <c r="J16" s="362">
        <v>1.002</v>
      </c>
      <c r="K16" s="362">
        <v>0.999</v>
      </c>
      <c r="L16" s="362">
        <v>0.997</v>
      </c>
      <c r="M16" s="362" t="s">
        <v>34</v>
      </c>
      <c r="N16" s="362" t="s">
        <v>34</v>
      </c>
      <c r="O16" s="362" t="s">
        <v>34</v>
      </c>
      <c r="P16" s="362" t="s">
        <v>34</v>
      </c>
      <c r="Q16" s="362" t="s">
        <v>34</v>
      </c>
      <c r="R16" s="362" t="s">
        <v>34</v>
      </c>
      <c r="S16" s="362" t="s">
        <v>34</v>
      </c>
      <c r="T16" s="362" t="s">
        <v>34</v>
      </c>
      <c r="U16" s="362" t="s">
        <v>34</v>
      </c>
    </row>
    <row r="17" spans="1:22" ht="12.75" customHeight="1">
      <c r="A17" s="12">
        <f t="shared" si="0"/>
        <v>1995</v>
      </c>
      <c r="B17" s="362">
        <v>1.0149999999999999</v>
      </c>
      <c r="C17" s="362">
        <v>0.996</v>
      </c>
      <c r="D17" s="362">
        <v>1.006</v>
      </c>
      <c r="E17" s="362">
        <v>0.999</v>
      </c>
      <c r="F17" s="362">
        <v>1.006</v>
      </c>
      <c r="G17" s="362">
        <v>0.99199999999999999</v>
      </c>
      <c r="H17" s="362">
        <v>0.999</v>
      </c>
      <c r="I17" s="362">
        <v>1.0009999999999999</v>
      </c>
      <c r="J17" s="362">
        <v>0.999</v>
      </c>
      <c r="K17" s="362">
        <v>1.0009999999999999</v>
      </c>
      <c r="L17" s="362" t="s">
        <v>34</v>
      </c>
      <c r="M17" s="362" t="s">
        <v>34</v>
      </c>
      <c r="N17" s="362" t="s">
        <v>34</v>
      </c>
      <c r="O17" s="362" t="s">
        <v>34</v>
      </c>
      <c r="P17" s="362" t="s">
        <v>34</v>
      </c>
      <c r="Q17" s="362" t="s">
        <v>34</v>
      </c>
      <c r="R17" s="362" t="s">
        <v>34</v>
      </c>
      <c r="S17" s="362" t="s">
        <v>34</v>
      </c>
      <c r="T17" s="362" t="s">
        <v>34</v>
      </c>
      <c r="U17" s="362" t="s">
        <v>34</v>
      </c>
    </row>
    <row r="18" spans="1:22" ht="12.75" customHeight="1">
      <c r="A18" s="12">
        <f t="shared" si="0"/>
        <v>1996</v>
      </c>
      <c r="B18" s="362">
        <v>1.008</v>
      </c>
      <c r="C18" s="362">
        <v>1.0049999999999999</v>
      </c>
      <c r="D18" s="362">
        <v>1.0009999999999999</v>
      </c>
      <c r="E18" s="362">
        <v>0.998</v>
      </c>
      <c r="F18" s="362">
        <v>0.999</v>
      </c>
      <c r="G18" s="362">
        <v>0.997</v>
      </c>
      <c r="H18" s="362">
        <v>1</v>
      </c>
      <c r="I18" s="362">
        <v>0.999</v>
      </c>
      <c r="J18" s="362">
        <v>0.997</v>
      </c>
      <c r="K18" s="362" t="s">
        <v>34</v>
      </c>
      <c r="L18" s="362" t="s">
        <v>34</v>
      </c>
      <c r="M18" s="362" t="s">
        <v>34</v>
      </c>
      <c r="N18" s="362" t="s">
        <v>34</v>
      </c>
      <c r="O18" s="362" t="s">
        <v>34</v>
      </c>
      <c r="P18" s="362" t="s">
        <v>34</v>
      </c>
      <c r="Q18" s="362" t="s">
        <v>34</v>
      </c>
      <c r="R18" s="362" t="s">
        <v>34</v>
      </c>
      <c r="S18" s="362" t="s">
        <v>34</v>
      </c>
      <c r="T18" s="362" t="s">
        <v>34</v>
      </c>
      <c r="U18" s="362" t="s">
        <v>34</v>
      </c>
    </row>
    <row r="19" spans="1:22" ht="12.75" customHeight="1">
      <c r="A19" s="12">
        <f t="shared" si="0"/>
        <v>1997</v>
      </c>
      <c r="B19" s="362">
        <v>1.0009999999999999</v>
      </c>
      <c r="C19" s="362">
        <v>0.99399999999999999</v>
      </c>
      <c r="D19" s="362">
        <v>0.998</v>
      </c>
      <c r="E19" s="362">
        <v>0.997</v>
      </c>
      <c r="F19" s="362">
        <v>0.998</v>
      </c>
      <c r="G19" s="362">
        <v>1.0009999999999999</v>
      </c>
      <c r="H19" s="362">
        <v>0.997</v>
      </c>
      <c r="I19" s="362">
        <v>0.999</v>
      </c>
      <c r="J19" s="362" t="s">
        <v>34</v>
      </c>
      <c r="K19" s="362" t="s">
        <v>34</v>
      </c>
      <c r="L19" s="362" t="s">
        <v>34</v>
      </c>
      <c r="M19" s="362" t="s">
        <v>34</v>
      </c>
      <c r="N19" s="362" t="s">
        <v>34</v>
      </c>
      <c r="O19" s="362" t="s">
        <v>34</v>
      </c>
      <c r="P19" s="362" t="s">
        <v>34</v>
      </c>
      <c r="Q19" s="362" t="s">
        <v>34</v>
      </c>
      <c r="R19" s="362" t="s">
        <v>34</v>
      </c>
      <c r="S19" s="362" t="s">
        <v>34</v>
      </c>
      <c r="T19" s="362" t="s">
        <v>34</v>
      </c>
      <c r="U19" s="362" t="s">
        <v>34</v>
      </c>
    </row>
    <row r="20" spans="1:22" ht="12.75" customHeight="1">
      <c r="A20" s="12">
        <f t="shared" si="0"/>
        <v>1998</v>
      </c>
      <c r="B20" s="362">
        <v>1.0009999999999999</v>
      </c>
      <c r="C20" s="362">
        <v>1.0009999999999999</v>
      </c>
      <c r="D20" s="362">
        <v>0.99399999999999999</v>
      </c>
      <c r="E20" s="362">
        <v>1.0009999999999999</v>
      </c>
      <c r="F20" s="362">
        <v>1.0029999999999999</v>
      </c>
      <c r="G20" s="362">
        <v>1</v>
      </c>
      <c r="H20" s="362">
        <v>0.999</v>
      </c>
      <c r="I20" s="362" t="s">
        <v>34</v>
      </c>
      <c r="J20" s="362" t="s">
        <v>34</v>
      </c>
      <c r="K20" s="362" t="s">
        <v>34</v>
      </c>
      <c r="L20" s="362" t="s">
        <v>34</v>
      </c>
      <c r="M20" s="362" t="s">
        <v>34</v>
      </c>
      <c r="N20" s="362" t="s">
        <v>34</v>
      </c>
      <c r="O20" s="362" t="s">
        <v>34</v>
      </c>
      <c r="P20" s="362" t="s">
        <v>34</v>
      </c>
      <c r="Q20" s="362" t="s">
        <v>34</v>
      </c>
      <c r="R20" s="362" t="s">
        <v>34</v>
      </c>
      <c r="S20" s="362" t="s">
        <v>34</v>
      </c>
      <c r="T20" s="362" t="s">
        <v>34</v>
      </c>
      <c r="U20" s="362" t="s">
        <v>34</v>
      </c>
    </row>
    <row r="21" spans="1:22" ht="12.75" customHeight="1">
      <c r="A21" s="12">
        <f t="shared" si="0"/>
        <v>1999</v>
      </c>
      <c r="B21" s="362">
        <v>0.999</v>
      </c>
      <c r="C21" s="362">
        <v>0.995</v>
      </c>
      <c r="D21" s="362">
        <v>1.002</v>
      </c>
      <c r="E21" s="362">
        <v>0.999</v>
      </c>
      <c r="F21" s="362">
        <v>0.999</v>
      </c>
      <c r="G21" s="362">
        <v>0.999</v>
      </c>
      <c r="H21" s="362" t="s">
        <v>34</v>
      </c>
      <c r="I21" s="362" t="s">
        <v>34</v>
      </c>
      <c r="J21" s="362" t="s">
        <v>34</v>
      </c>
      <c r="K21" s="362" t="s">
        <v>34</v>
      </c>
      <c r="L21" s="362" t="s">
        <v>34</v>
      </c>
      <c r="M21" s="362" t="s">
        <v>34</v>
      </c>
      <c r="N21" s="362" t="s">
        <v>34</v>
      </c>
      <c r="O21" s="362" t="s">
        <v>34</v>
      </c>
      <c r="P21" s="362" t="s">
        <v>34</v>
      </c>
      <c r="Q21" s="362" t="s">
        <v>34</v>
      </c>
      <c r="R21" s="362" t="s">
        <v>34</v>
      </c>
      <c r="S21" s="362" t="s">
        <v>34</v>
      </c>
      <c r="T21" s="362" t="s">
        <v>34</v>
      </c>
      <c r="U21" s="362" t="s">
        <v>34</v>
      </c>
    </row>
    <row r="22" spans="1:22" ht="12.75" customHeight="1">
      <c r="A22" s="12">
        <f t="shared" si="0"/>
        <v>2000</v>
      </c>
      <c r="B22" s="362">
        <v>0.996</v>
      </c>
      <c r="C22" s="362">
        <v>0.999</v>
      </c>
      <c r="D22" s="362">
        <v>0.999</v>
      </c>
      <c r="E22" s="362">
        <v>1</v>
      </c>
      <c r="F22" s="362">
        <v>0.998</v>
      </c>
      <c r="G22" s="362" t="s">
        <v>34</v>
      </c>
      <c r="H22" s="362" t="s">
        <v>34</v>
      </c>
      <c r="I22" s="362" t="s">
        <v>34</v>
      </c>
      <c r="J22" s="362" t="s">
        <v>34</v>
      </c>
      <c r="K22" s="362" t="s">
        <v>34</v>
      </c>
      <c r="L22" s="362" t="s">
        <v>34</v>
      </c>
      <c r="M22" s="362" t="s">
        <v>34</v>
      </c>
      <c r="N22" s="362" t="s">
        <v>34</v>
      </c>
      <c r="O22" s="362" t="s">
        <v>34</v>
      </c>
      <c r="P22" s="362" t="s">
        <v>34</v>
      </c>
      <c r="Q22" s="362" t="s">
        <v>34</v>
      </c>
      <c r="R22" s="362" t="s">
        <v>34</v>
      </c>
      <c r="S22" s="362" t="s">
        <v>34</v>
      </c>
      <c r="T22" s="362" t="s">
        <v>34</v>
      </c>
      <c r="U22" s="362" t="s">
        <v>34</v>
      </c>
    </row>
    <row r="23" spans="1:22" ht="12.75" customHeight="1">
      <c r="A23" s="12">
        <f t="shared" si="0"/>
        <v>2001</v>
      </c>
      <c r="B23" s="362">
        <v>1.0009999999999999</v>
      </c>
      <c r="C23" s="362">
        <v>1.0029999999999999</v>
      </c>
      <c r="D23" s="362">
        <v>0.998</v>
      </c>
      <c r="E23" s="362">
        <v>0.998</v>
      </c>
      <c r="F23" s="362" t="s">
        <v>34</v>
      </c>
      <c r="G23" s="362" t="s">
        <v>34</v>
      </c>
      <c r="H23" s="362" t="s">
        <v>34</v>
      </c>
      <c r="I23" s="362" t="s">
        <v>34</v>
      </c>
      <c r="J23" s="362" t="s">
        <v>34</v>
      </c>
      <c r="K23" s="362" t="s">
        <v>34</v>
      </c>
      <c r="L23" s="362" t="s">
        <v>34</v>
      </c>
      <c r="M23" s="362" t="s">
        <v>34</v>
      </c>
      <c r="N23" s="362" t="s">
        <v>34</v>
      </c>
      <c r="O23" s="362" t="s">
        <v>34</v>
      </c>
      <c r="P23" s="362" t="s">
        <v>34</v>
      </c>
      <c r="Q23" s="362" t="s">
        <v>34</v>
      </c>
      <c r="R23" s="362" t="s">
        <v>34</v>
      </c>
      <c r="S23" s="362" t="s">
        <v>34</v>
      </c>
      <c r="T23" s="362" t="s">
        <v>34</v>
      </c>
      <c r="U23" s="362" t="s">
        <v>34</v>
      </c>
    </row>
    <row r="24" spans="1:22" ht="12.75" customHeight="1">
      <c r="A24" s="12">
        <f t="shared" si="0"/>
        <v>2002</v>
      </c>
      <c r="B24" s="362">
        <v>1.0009999999999999</v>
      </c>
      <c r="C24" s="362">
        <v>1.0009999999999999</v>
      </c>
      <c r="D24" s="362">
        <v>0.999</v>
      </c>
      <c r="E24" s="362" t="s">
        <v>34</v>
      </c>
      <c r="F24" s="362" t="s">
        <v>34</v>
      </c>
      <c r="G24" s="362" t="s">
        <v>34</v>
      </c>
      <c r="H24" s="362" t="s">
        <v>34</v>
      </c>
      <c r="I24" s="362" t="s">
        <v>34</v>
      </c>
      <c r="J24" s="362" t="s">
        <v>34</v>
      </c>
      <c r="K24" s="362" t="s">
        <v>34</v>
      </c>
      <c r="L24" s="362" t="s">
        <v>34</v>
      </c>
      <c r="M24" s="362" t="s">
        <v>34</v>
      </c>
      <c r="N24" s="362" t="s">
        <v>34</v>
      </c>
      <c r="O24" s="362" t="s">
        <v>34</v>
      </c>
      <c r="P24" s="362" t="s">
        <v>34</v>
      </c>
      <c r="Q24" s="362" t="s">
        <v>34</v>
      </c>
      <c r="R24" s="362" t="s">
        <v>34</v>
      </c>
      <c r="S24" s="362" t="s">
        <v>34</v>
      </c>
      <c r="T24" s="362" t="s">
        <v>34</v>
      </c>
      <c r="U24" s="362" t="s">
        <v>34</v>
      </c>
    </row>
    <row r="25" spans="1:22" ht="12.75" customHeight="1">
      <c r="A25" s="12">
        <f t="shared" si="0"/>
        <v>2003</v>
      </c>
      <c r="B25" s="362">
        <v>1.0009999999999999</v>
      </c>
      <c r="C25" s="362">
        <v>0.998</v>
      </c>
      <c r="D25" s="362" t="s">
        <v>34</v>
      </c>
      <c r="E25" s="362" t="s">
        <v>34</v>
      </c>
      <c r="F25" s="362" t="s">
        <v>34</v>
      </c>
      <c r="G25" s="362" t="s">
        <v>34</v>
      </c>
      <c r="H25" s="362" t="s">
        <v>34</v>
      </c>
      <c r="I25" s="362" t="s">
        <v>34</v>
      </c>
      <c r="J25" s="362" t="s">
        <v>34</v>
      </c>
      <c r="K25" s="362" t="s">
        <v>34</v>
      </c>
      <c r="L25" s="362" t="s">
        <v>34</v>
      </c>
      <c r="M25" s="362" t="s">
        <v>34</v>
      </c>
      <c r="N25" s="362" t="s">
        <v>34</v>
      </c>
      <c r="O25" s="362" t="s">
        <v>34</v>
      </c>
      <c r="P25" s="362" t="s">
        <v>34</v>
      </c>
      <c r="Q25" s="362" t="s">
        <v>34</v>
      </c>
      <c r="R25" s="362" t="s">
        <v>34</v>
      </c>
      <c r="S25" s="362" t="s">
        <v>34</v>
      </c>
      <c r="T25" s="362" t="s">
        <v>34</v>
      </c>
      <c r="U25" s="362" t="s">
        <v>34</v>
      </c>
    </row>
    <row r="26" spans="1:22" ht="12.75" customHeight="1">
      <c r="A26" s="12">
        <f>'Exhibit 2.1.2'!A26</f>
        <v>2004</v>
      </c>
      <c r="B26" s="362">
        <v>0.999</v>
      </c>
      <c r="C26" s="362" t="s">
        <v>34</v>
      </c>
      <c r="D26" s="362" t="s">
        <v>34</v>
      </c>
      <c r="E26" s="362" t="s">
        <v>34</v>
      </c>
      <c r="F26" s="362" t="s">
        <v>34</v>
      </c>
      <c r="G26" s="362" t="s">
        <v>34</v>
      </c>
      <c r="H26" s="362" t="s">
        <v>34</v>
      </c>
      <c r="I26" s="362" t="s">
        <v>34</v>
      </c>
      <c r="J26" s="362" t="s">
        <v>34</v>
      </c>
      <c r="K26" s="362" t="s">
        <v>34</v>
      </c>
      <c r="L26" s="362" t="s">
        <v>34</v>
      </c>
      <c r="M26" s="362" t="s">
        <v>34</v>
      </c>
      <c r="N26" s="362" t="s">
        <v>34</v>
      </c>
      <c r="O26" s="362" t="s">
        <v>34</v>
      </c>
      <c r="P26" s="362" t="s">
        <v>34</v>
      </c>
      <c r="Q26" s="362" t="s">
        <v>34</v>
      </c>
      <c r="R26" s="362" t="s">
        <v>34</v>
      </c>
      <c r="S26" s="362" t="s">
        <v>34</v>
      </c>
      <c r="T26" s="362" t="s">
        <v>34</v>
      </c>
      <c r="U26" s="362" t="s">
        <v>34</v>
      </c>
    </row>
    <row r="27" spans="1:22">
      <c r="A27" s="220"/>
      <c r="B27" s="13"/>
      <c r="C27" s="13"/>
      <c r="D27" s="13"/>
      <c r="E27" s="13"/>
      <c r="F27" s="13"/>
      <c r="G27" s="13"/>
      <c r="H27" s="13"/>
      <c r="I27" s="13"/>
      <c r="J27" s="13"/>
      <c r="K27" s="13"/>
      <c r="L27" s="13"/>
      <c r="M27" s="13"/>
      <c r="N27" s="13"/>
      <c r="O27" s="13"/>
      <c r="P27" s="13"/>
      <c r="R27" s="13"/>
      <c r="S27" s="13"/>
      <c r="T27" s="13"/>
      <c r="U27" s="13"/>
    </row>
    <row r="28" spans="1:22">
      <c r="A28" s="14"/>
      <c r="B28" s="13"/>
      <c r="C28" s="13"/>
      <c r="D28" s="13"/>
      <c r="E28" s="13"/>
      <c r="F28" s="13"/>
      <c r="G28" s="13"/>
      <c r="H28" s="13"/>
      <c r="I28" s="13"/>
      <c r="J28" s="13"/>
      <c r="K28" s="13"/>
      <c r="L28" s="13"/>
      <c r="M28" s="13"/>
      <c r="N28" s="13"/>
      <c r="O28" s="13"/>
      <c r="P28" s="13"/>
      <c r="Q28" s="13"/>
      <c r="R28" s="13"/>
      <c r="S28" s="13"/>
      <c r="T28" s="13"/>
      <c r="U28" s="13"/>
    </row>
    <row r="29" spans="1:22">
      <c r="A29" s="14" t="s">
        <v>20</v>
      </c>
      <c r="B29" s="374">
        <f>AVERAGE(B21:B26)</f>
        <v>0.99949999999999983</v>
      </c>
      <c r="C29" s="374">
        <f>AVERAGE(C20:C25)</f>
        <v>0.99950000000000017</v>
      </c>
      <c r="D29" s="374">
        <f>AVERAGE(D19:D24)</f>
        <v>0.99833333333333318</v>
      </c>
      <c r="E29" s="374">
        <f>AVERAGE(E18:E23)</f>
        <v>0.99883333333333335</v>
      </c>
      <c r="F29" s="374">
        <f>AVERAGE(F17:F22)</f>
        <v>1.0004999999999999</v>
      </c>
      <c r="G29" s="374">
        <f>AVERAGE(G16:G21)</f>
        <v>0.99749999999999994</v>
      </c>
      <c r="H29" s="374">
        <f>AVERAGE(H15:H20)</f>
        <v>0.99766666666666659</v>
      </c>
      <c r="I29" s="374">
        <f>AVERAGE(I14:I19)</f>
        <v>0.99983333333333313</v>
      </c>
      <c r="J29" s="374">
        <f>AVERAGE(J13:J18)</f>
        <v>0.99949999999999983</v>
      </c>
      <c r="K29" s="374">
        <f>AVERAGE(K12:K17)</f>
        <v>0.99933333333333341</v>
      </c>
      <c r="L29" s="374">
        <f>AVERAGE(L11:L16)</f>
        <v>0.99883333333333324</v>
      </c>
      <c r="M29" s="374">
        <f>AVERAGE(M10:M15)</f>
        <v>0.9986666666666667</v>
      </c>
      <c r="N29" s="374">
        <f>AVERAGE(N9:N14)</f>
        <v>0.999</v>
      </c>
      <c r="O29" s="374">
        <f>AVERAGE(O8:O13)</f>
        <v>1.0003333333333331</v>
      </c>
      <c r="P29" s="374">
        <f>AVERAGE(P7:P12)</f>
        <v>0.99999999999999989</v>
      </c>
      <c r="Q29" s="13">
        <f>AVERAGE(Q6:Q11)</f>
        <v>1.0018333333333331</v>
      </c>
      <c r="R29" s="13">
        <f>AVERAGE(R5:R10)</f>
        <v>0.9993333333333333</v>
      </c>
      <c r="S29" s="13">
        <f>AVERAGE(S5:S9)</f>
        <v>0.99999999999999978</v>
      </c>
      <c r="T29" s="13">
        <f>AVERAGE(T5:T8)</f>
        <v>1.0004999999999999</v>
      </c>
      <c r="U29" s="13">
        <f>AVERAGE(U5:U7)</f>
        <v>0.99966666666666659</v>
      </c>
      <c r="V29" s="16"/>
    </row>
    <row r="30" spans="1:22">
      <c r="A30" s="220" t="s">
        <v>21</v>
      </c>
      <c r="B30" s="13">
        <f>C30*B29</f>
        <v>0.99376718777647255</v>
      </c>
      <c r="C30" s="13">
        <f t="shared" ref="C30:U30" si="1">D30*C29</f>
        <v>0.99426431993644093</v>
      </c>
      <c r="D30" s="13">
        <f t="shared" si="1"/>
        <v>0.99476170078683424</v>
      </c>
      <c r="E30" s="13">
        <f t="shared" si="1"/>
        <v>0.9964224047948258</v>
      </c>
      <c r="F30" s="13">
        <f t="shared" si="1"/>
        <v>0.99758625542615631</v>
      </c>
      <c r="G30" s="13">
        <f t="shared" si="1"/>
        <v>0.99708771157037113</v>
      </c>
      <c r="H30" s="13">
        <f t="shared" si="1"/>
        <v>0.99958667826603631</v>
      </c>
      <c r="I30" s="13">
        <f t="shared" si="1"/>
        <v>1.0019245021042797</v>
      </c>
      <c r="J30" s="13">
        <f t="shared" si="1"/>
        <v>1.0020915173571727</v>
      </c>
      <c r="K30" s="13">
        <f t="shared" si="1"/>
        <v>1.002592813764055</v>
      </c>
      <c r="L30" s="13">
        <f t="shared" si="1"/>
        <v>1.0032616548672997</v>
      </c>
      <c r="M30" s="13">
        <f t="shared" si="1"/>
        <v>1.0044334939435673</v>
      </c>
      <c r="N30" s="13">
        <f t="shared" si="1"/>
        <v>1.0057745266457616</v>
      </c>
      <c r="O30" s="13">
        <f t="shared" si="1"/>
        <v>1.0067813079537153</v>
      </c>
      <c r="P30" s="13">
        <f t="shared" si="1"/>
        <v>1.0064458260117117</v>
      </c>
      <c r="Q30" s="13">
        <f t="shared" si="1"/>
        <v>1.006445826011712</v>
      </c>
      <c r="R30" s="13">
        <f t="shared" si="1"/>
        <v>1.0046040519165318</v>
      </c>
      <c r="S30" s="13">
        <f t="shared" ref="S30" si="2">T30*S29</f>
        <v>1.0052742347396917</v>
      </c>
      <c r="T30" s="13">
        <f t="shared" ref="T30" si="3">U30*T29</f>
        <v>1.0052742347396919</v>
      </c>
      <c r="U30" s="13">
        <f t="shared" si="1"/>
        <v>1.0047718488152844</v>
      </c>
      <c r="V30" s="362">
        <v>1.0051068844434323</v>
      </c>
    </row>
    <row r="31" spans="1:22" ht="19.149999999999999" customHeight="1">
      <c r="A31" s="164" t="s">
        <v>26</v>
      </c>
      <c r="B31" s="516" t="s">
        <v>509</v>
      </c>
      <c r="C31" s="516"/>
      <c r="D31" s="516"/>
      <c r="E31" s="516"/>
      <c r="F31" s="516"/>
      <c r="G31" s="516"/>
      <c r="H31" s="516"/>
      <c r="I31" s="516"/>
      <c r="J31" s="516"/>
      <c r="K31" s="516"/>
      <c r="L31" s="516"/>
      <c r="M31" s="516"/>
      <c r="N31" s="516"/>
      <c r="O31" s="516"/>
      <c r="P31" s="516"/>
      <c r="Q31" s="516"/>
      <c r="R31" s="516"/>
      <c r="S31" s="462"/>
      <c r="T31" s="499"/>
      <c r="U31" s="281"/>
    </row>
    <row r="32" spans="1:22" ht="13.15" customHeight="1">
      <c r="B32" s="517" t="s">
        <v>509</v>
      </c>
      <c r="C32" s="517"/>
      <c r="D32" s="517"/>
      <c r="E32" s="517"/>
      <c r="F32" s="517"/>
      <c r="G32" s="517"/>
      <c r="H32" s="517"/>
      <c r="I32" s="517"/>
      <c r="J32" s="517"/>
      <c r="K32" s="517"/>
      <c r="L32" s="517"/>
      <c r="M32" s="517"/>
      <c r="N32" s="517"/>
      <c r="O32" s="517"/>
      <c r="P32" s="517"/>
      <c r="Q32" s="517"/>
      <c r="R32" s="517"/>
      <c r="S32" s="463"/>
      <c r="T32" s="500"/>
      <c r="U32" s="282"/>
    </row>
  </sheetData>
  <mergeCells count="1">
    <mergeCell ref="B31:R32"/>
  </mergeCells>
  <pageMargins left="0.7" right="0.7" top="0.75" bottom="0.75" header="0.3" footer="0.3"/>
  <pageSetup scale="73" orientation="landscape" blackAndWhite="1"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Q34"/>
  <sheetViews>
    <sheetView zoomScaleNormal="100" workbookViewId="0"/>
  </sheetViews>
  <sheetFormatPr defaultColWidth="9.140625" defaultRowHeight="12.75"/>
  <cols>
    <col min="1" max="1" width="18.5703125" style="108" customWidth="1"/>
    <col min="2" max="17" width="8.28515625" style="108" customWidth="1"/>
    <col min="18" max="16384" width="9.140625" style="108"/>
  </cols>
  <sheetData>
    <row r="1" spans="1:17" ht="13.15" customHeight="1">
      <c r="A1" s="240" t="s">
        <v>31</v>
      </c>
      <c r="B1" s="240"/>
      <c r="C1" s="240"/>
      <c r="D1" s="240"/>
      <c r="E1" s="240"/>
      <c r="F1" s="240"/>
      <c r="G1" s="240"/>
      <c r="H1" s="240"/>
      <c r="I1" s="240"/>
      <c r="J1" s="240"/>
      <c r="K1" s="240"/>
      <c r="L1" s="240"/>
      <c r="M1" s="240"/>
      <c r="N1" s="240"/>
      <c r="O1" s="240"/>
      <c r="P1" s="240"/>
      <c r="Q1" s="240"/>
    </row>
    <row r="2" spans="1:17" ht="13.15" customHeight="1">
      <c r="A2" s="118"/>
      <c r="B2" s="157"/>
      <c r="C2" s="118"/>
      <c r="D2" s="118"/>
      <c r="E2" s="118"/>
      <c r="F2" s="118"/>
      <c r="G2" s="118"/>
      <c r="H2" s="118"/>
      <c r="I2" s="118"/>
      <c r="J2" s="118"/>
      <c r="K2" s="118"/>
      <c r="L2" s="118"/>
      <c r="M2" s="118"/>
      <c r="N2" s="118"/>
      <c r="O2" s="118"/>
      <c r="P2" s="118"/>
      <c r="Q2" s="118"/>
    </row>
    <row r="3" spans="1:17" ht="13.15" customHeight="1">
      <c r="A3" s="118"/>
      <c r="B3" s="242" t="s">
        <v>18</v>
      </c>
      <c r="C3" s="242"/>
      <c r="D3" s="242"/>
      <c r="E3" s="242"/>
      <c r="F3" s="242"/>
      <c r="G3" s="242"/>
      <c r="H3" s="242"/>
      <c r="I3" s="242"/>
      <c r="J3" s="242"/>
      <c r="K3" s="242"/>
      <c r="L3" s="242"/>
      <c r="M3" s="242"/>
      <c r="N3" s="242"/>
      <c r="O3" s="242"/>
      <c r="P3" s="242"/>
      <c r="Q3" s="242"/>
    </row>
    <row r="4" spans="1:17" ht="13.15" customHeight="1">
      <c r="A4" s="11" t="s">
        <v>19</v>
      </c>
      <c r="B4" s="11" t="s">
        <v>445</v>
      </c>
      <c r="C4" s="11" t="s">
        <v>446</v>
      </c>
      <c r="D4" s="11" t="s">
        <v>447</v>
      </c>
      <c r="E4" s="11" t="s">
        <v>448</v>
      </c>
      <c r="F4" s="11" t="s">
        <v>449</v>
      </c>
      <c r="G4" s="11" t="s">
        <v>450</v>
      </c>
      <c r="H4" s="11" t="s">
        <v>451</v>
      </c>
      <c r="I4" s="11" t="s">
        <v>452</v>
      </c>
      <c r="J4" s="11" t="s">
        <v>453</v>
      </c>
      <c r="K4" s="11" t="s">
        <v>454</v>
      </c>
      <c r="L4" s="11" t="s">
        <v>455</v>
      </c>
      <c r="M4" s="11" t="s">
        <v>456</v>
      </c>
      <c r="N4" s="11" t="s">
        <v>457</v>
      </c>
      <c r="O4" s="11" t="s">
        <v>458</v>
      </c>
      <c r="P4" s="11" t="s">
        <v>459</v>
      </c>
      <c r="Q4" s="11" t="s">
        <v>460</v>
      </c>
    </row>
    <row r="5" spans="1:17" ht="13.15" customHeight="1">
      <c r="A5" s="12">
        <f t="shared" ref="A5:A28" si="0">+A6-1</f>
        <v>1996</v>
      </c>
      <c r="B5" s="362" t="s">
        <v>34</v>
      </c>
      <c r="C5" s="362" t="s">
        <v>34</v>
      </c>
      <c r="D5" s="362" t="s">
        <v>34</v>
      </c>
      <c r="E5" s="362" t="s">
        <v>34</v>
      </c>
      <c r="F5" s="362" t="s">
        <v>34</v>
      </c>
      <c r="G5" s="362" t="s">
        <v>34</v>
      </c>
      <c r="H5" s="362" t="s">
        <v>34</v>
      </c>
      <c r="I5" s="362" t="s">
        <v>34</v>
      </c>
      <c r="J5" s="362" t="s">
        <v>34</v>
      </c>
      <c r="K5" s="362" t="s">
        <v>34</v>
      </c>
      <c r="L5" s="362" t="s">
        <v>34</v>
      </c>
      <c r="M5" s="362">
        <v>1.0089999999999999</v>
      </c>
      <c r="N5" s="362">
        <v>1.006</v>
      </c>
      <c r="O5" s="362">
        <v>1.006</v>
      </c>
      <c r="P5" s="362">
        <v>1.004</v>
      </c>
      <c r="Q5" s="362">
        <v>1.004</v>
      </c>
    </row>
    <row r="6" spans="1:17" ht="13.15" customHeight="1">
      <c r="A6" s="12">
        <f t="shared" si="0"/>
        <v>1997</v>
      </c>
      <c r="B6" s="362" t="s">
        <v>34</v>
      </c>
      <c r="C6" s="362" t="s">
        <v>34</v>
      </c>
      <c r="D6" s="362" t="s">
        <v>34</v>
      </c>
      <c r="E6" s="362" t="s">
        <v>34</v>
      </c>
      <c r="F6" s="362" t="s">
        <v>34</v>
      </c>
      <c r="G6" s="362" t="s">
        <v>34</v>
      </c>
      <c r="H6" s="362" t="s">
        <v>34</v>
      </c>
      <c r="I6" s="362" t="s">
        <v>34</v>
      </c>
      <c r="J6" s="362" t="s">
        <v>34</v>
      </c>
      <c r="K6" s="362" t="s">
        <v>34</v>
      </c>
      <c r="L6" s="362">
        <v>1.012</v>
      </c>
      <c r="M6" s="362">
        <v>1.008</v>
      </c>
      <c r="N6" s="362">
        <v>1.0069999999999999</v>
      </c>
      <c r="O6" s="362">
        <v>1.006</v>
      </c>
      <c r="P6" s="362">
        <v>1.006</v>
      </c>
      <c r="Q6" s="362">
        <v>1.0049999999999999</v>
      </c>
    </row>
    <row r="7" spans="1:17" ht="13.15" customHeight="1">
      <c r="A7" s="12">
        <f t="shared" si="0"/>
        <v>1998</v>
      </c>
      <c r="B7" s="362" t="s">
        <v>34</v>
      </c>
      <c r="C7" s="362" t="s">
        <v>34</v>
      </c>
      <c r="D7" s="362" t="s">
        <v>34</v>
      </c>
      <c r="E7" s="362" t="s">
        <v>34</v>
      </c>
      <c r="F7" s="362" t="s">
        <v>34</v>
      </c>
      <c r="G7" s="362" t="s">
        <v>34</v>
      </c>
      <c r="H7" s="362" t="s">
        <v>34</v>
      </c>
      <c r="I7" s="362" t="s">
        <v>34</v>
      </c>
      <c r="J7" s="362" t="s">
        <v>34</v>
      </c>
      <c r="K7" s="362">
        <v>1.0149999999999999</v>
      </c>
      <c r="L7" s="362">
        <v>1.012</v>
      </c>
      <c r="M7" s="362">
        <v>1.0089999999999999</v>
      </c>
      <c r="N7" s="362">
        <v>1.0089999999999999</v>
      </c>
      <c r="O7" s="362">
        <v>1.0069999999999999</v>
      </c>
      <c r="P7" s="362">
        <v>1.006</v>
      </c>
      <c r="Q7" s="362">
        <v>1.006</v>
      </c>
    </row>
    <row r="8" spans="1:17" ht="13.15" customHeight="1">
      <c r="A8" s="12">
        <f t="shared" si="0"/>
        <v>1999</v>
      </c>
      <c r="B8" s="362" t="s">
        <v>34</v>
      </c>
      <c r="C8" s="362" t="s">
        <v>34</v>
      </c>
      <c r="D8" s="362" t="s">
        <v>34</v>
      </c>
      <c r="E8" s="362" t="s">
        <v>34</v>
      </c>
      <c r="F8" s="362" t="s">
        <v>34</v>
      </c>
      <c r="G8" s="362" t="s">
        <v>34</v>
      </c>
      <c r="H8" s="362" t="s">
        <v>34</v>
      </c>
      <c r="I8" s="362" t="s">
        <v>34</v>
      </c>
      <c r="J8" s="362">
        <v>1.018</v>
      </c>
      <c r="K8" s="362">
        <v>1.0149999999999999</v>
      </c>
      <c r="L8" s="362">
        <v>1.0109999999999999</v>
      </c>
      <c r="M8" s="362">
        <v>1.0089999999999999</v>
      </c>
      <c r="N8" s="362">
        <v>1.008</v>
      </c>
      <c r="O8" s="362">
        <v>1.0069999999999999</v>
      </c>
      <c r="P8" s="362">
        <v>1.006</v>
      </c>
      <c r="Q8" s="362">
        <v>1.004</v>
      </c>
    </row>
    <row r="9" spans="1:17" ht="13.15" customHeight="1">
      <c r="A9" s="12">
        <f t="shared" si="0"/>
        <v>2000</v>
      </c>
      <c r="B9" s="362" t="s">
        <v>34</v>
      </c>
      <c r="C9" s="362" t="s">
        <v>34</v>
      </c>
      <c r="D9" s="362" t="s">
        <v>34</v>
      </c>
      <c r="E9" s="362" t="s">
        <v>34</v>
      </c>
      <c r="F9" s="362" t="s">
        <v>34</v>
      </c>
      <c r="G9" s="362" t="s">
        <v>34</v>
      </c>
      <c r="H9" s="362" t="s">
        <v>34</v>
      </c>
      <c r="I9" s="362">
        <v>1.0249999999999999</v>
      </c>
      <c r="J9" s="362">
        <v>1.016</v>
      </c>
      <c r="K9" s="362">
        <v>1.0129999999999999</v>
      </c>
      <c r="L9" s="362">
        <v>1.01</v>
      </c>
      <c r="M9" s="362">
        <v>1.0089999999999999</v>
      </c>
      <c r="N9" s="362">
        <v>1.008</v>
      </c>
      <c r="O9" s="362">
        <v>1.0069999999999999</v>
      </c>
      <c r="P9" s="362">
        <v>1.0049999999999999</v>
      </c>
      <c r="Q9" s="362">
        <v>1.004</v>
      </c>
    </row>
    <row r="10" spans="1:17" ht="13.15" customHeight="1">
      <c r="A10" s="12">
        <f t="shared" si="0"/>
        <v>2001</v>
      </c>
      <c r="B10" s="362" t="s">
        <v>34</v>
      </c>
      <c r="C10" s="362" t="s">
        <v>34</v>
      </c>
      <c r="D10" s="362" t="s">
        <v>34</v>
      </c>
      <c r="E10" s="362" t="s">
        <v>34</v>
      </c>
      <c r="F10" s="362" t="s">
        <v>34</v>
      </c>
      <c r="G10" s="362" t="s">
        <v>34</v>
      </c>
      <c r="H10" s="362">
        <v>1.034</v>
      </c>
      <c r="I10" s="362">
        <v>1.024</v>
      </c>
      <c r="J10" s="362">
        <v>1.0169999999999999</v>
      </c>
      <c r="K10" s="362">
        <v>1.014</v>
      </c>
      <c r="L10" s="362">
        <v>1.012</v>
      </c>
      <c r="M10" s="362">
        <v>1.0109999999999999</v>
      </c>
      <c r="N10" s="362">
        <v>1.008</v>
      </c>
      <c r="O10" s="362">
        <v>1.0069999999999999</v>
      </c>
      <c r="P10" s="362">
        <v>1.006</v>
      </c>
      <c r="Q10" s="362">
        <v>1.0049999999999999</v>
      </c>
    </row>
    <row r="11" spans="1:17" ht="13.15" customHeight="1">
      <c r="A11" s="12">
        <f t="shared" si="0"/>
        <v>2002</v>
      </c>
      <c r="B11" s="362" t="s">
        <v>34</v>
      </c>
      <c r="C11" s="362" t="s">
        <v>34</v>
      </c>
      <c r="D11" s="362" t="s">
        <v>34</v>
      </c>
      <c r="E11" s="362" t="s">
        <v>34</v>
      </c>
      <c r="F11" s="362" t="s">
        <v>34</v>
      </c>
      <c r="G11" s="362">
        <v>1.046</v>
      </c>
      <c r="H11" s="362">
        <v>1.0309999999999999</v>
      </c>
      <c r="I11" s="362">
        <v>1.02</v>
      </c>
      <c r="J11" s="362">
        <v>1.018</v>
      </c>
      <c r="K11" s="362">
        <v>1.0149999999999999</v>
      </c>
      <c r="L11" s="362">
        <v>1.014</v>
      </c>
      <c r="M11" s="362">
        <v>1.008</v>
      </c>
      <c r="N11" s="362">
        <v>1.008</v>
      </c>
      <c r="O11" s="362">
        <v>1.006</v>
      </c>
      <c r="P11" s="362">
        <v>1.006</v>
      </c>
      <c r="Q11" s="362">
        <v>1.0049999999999999</v>
      </c>
    </row>
    <row r="12" spans="1:17" ht="13.15" customHeight="1">
      <c r="A12" s="12">
        <f t="shared" si="0"/>
        <v>2003</v>
      </c>
      <c r="B12" s="362" t="s">
        <v>34</v>
      </c>
      <c r="C12" s="362" t="s">
        <v>34</v>
      </c>
      <c r="D12" s="362" t="s">
        <v>34</v>
      </c>
      <c r="E12" s="362" t="s">
        <v>34</v>
      </c>
      <c r="F12" s="362">
        <v>1.0720000000000001</v>
      </c>
      <c r="G12" s="362">
        <v>1.0429999999999999</v>
      </c>
      <c r="H12" s="362">
        <v>1.03</v>
      </c>
      <c r="I12" s="362">
        <v>1.026</v>
      </c>
      <c r="J12" s="362">
        <v>1.0229999999999999</v>
      </c>
      <c r="K12" s="362">
        <v>1.0209999999999999</v>
      </c>
      <c r="L12" s="362">
        <v>1.0149999999999999</v>
      </c>
      <c r="M12" s="362">
        <v>1.012</v>
      </c>
      <c r="N12" s="362">
        <v>1.0089999999999999</v>
      </c>
      <c r="O12" s="362">
        <v>1.008</v>
      </c>
      <c r="P12" s="362">
        <v>1.0069999999999999</v>
      </c>
      <c r="Q12" s="362">
        <v>1.0069999999999999</v>
      </c>
    </row>
    <row r="13" spans="1:17" ht="13.15" customHeight="1">
      <c r="A13" s="12">
        <f t="shared" si="0"/>
        <v>2004</v>
      </c>
      <c r="B13" s="362" t="s">
        <v>34</v>
      </c>
      <c r="C13" s="362" t="s">
        <v>34</v>
      </c>
      <c r="D13" s="362" t="s">
        <v>34</v>
      </c>
      <c r="E13" s="362">
        <v>1.1160000000000001</v>
      </c>
      <c r="F13" s="362">
        <v>1.073</v>
      </c>
      <c r="G13" s="362">
        <v>1.0489999999999999</v>
      </c>
      <c r="H13" s="362">
        <v>1.0409999999999999</v>
      </c>
      <c r="I13" s="362">
        <v>1.0349999999999999</v>
      </c>
      <c r="J13" s="362">
        <v>1.03</v>
      </c>
      <c r="K13" s="362">
        <v>1.02</v>
      </c>
      <c r="L13" s="362">
        <v>1.0149999999999999</v>
      </c>
      <c r="M13" s="362">
        <v>1.0109999999999999</v>
      </c>
      <c r="N13" s="362">
        <v>1.0089999999999999</v>
      </c>
      <c r="O13" s="362">
        <v>1.008</v>
      </c>
      <c r="P13" s="362">
        <v>1.0089999999999999</v>
      </c>
      <c r="Q13" s="362">
        <v>1.006</v>
      </c>
    </row>
    <row r="14" spans="1:17" ht="13.15" customHeight="1">
      <c r="A14" s="12">
        <f t="shared" si="0"/>
        <v>2005</v>
      </c>
      <c r="B14" s="362" t="s">
        <v>34</v>
      </c>
      <c r="C14" s="362" t="s">
        <v>34</v>
      </c>
      <c r="D14" s="362">
        <v>1.2350000000000001</v>
      </c>
      <c r="E14" s="362">
        <v>1.121</v>
      </c>
      <c r="F14" s="362">
        <v>1.079</v>
      </c>
      <c r="G14" s="362">
        <v>1.06</v>
      </c>
      <c r="H14" s="362">
        <v>1.0469999999999999</v>
      </c>
      <c r="I14" s="362">
        <v>1.042</v>
      </c>
      <c r="J14" s="362">
        <v>1.028</v>
      </c>
      <c r="K14" s="362">
        <v>1.02</v>
      </c>
      <c r="L14" s="362">
        <v>1.0149999999999999</v>
      </c>
      <c r="M14" s="362">
        <v>1.0129999999999999</v>
      </c>
      <c r="N14" s="362">
        <v>1.01</v>
      </c>
      <c r="O14" s="362">
        <v>1.01</v>
      </c>
      <c r="P14" s="362">
        <v>1.01</v>
      </c>
      <c r="Q14" s="362">
        <v>1.0049999999999999</v>
      </c>
    </row>
    <row r="15" spans="1:17" ht="13.15" customHeight="1">
      <c r="A15" s="12">
        <f t="shared" si="0"/>
        <v>2006</v>
      </c>
      <c r="B15" s="362" t="s">
        <v>34</v>
      </c>
      <c r="C15" s="362">
        <v>1.5389999999999999</v>
      </c>
      <c r="D15" s="362">
        <v>1.2290000000000001</v>
      </c>
      <c r="E15" s="362">
        <v>1.135</v>
      </c>
      <c r="F15" s="362">
        <v>1.0900000000000001</v>
      </c>
      <c r="G15" s="362">
        <v>1.0680000000000001</v>
      </c>
      <c r="H15" s="362">
        <v>1.05</v>
      </c>
      <c r="I15" s="362">
        <v>1.0349999999999999</v>
      </c>
      <c r="J15" s="362">
        <v>1.026</v>
      </c>
      <c r="K15" s="362">
        <v>1.018</v>
      </c>
      <c r="L15" s="362">
        <v>1.016</v>
      </c>
      <c r="M15" s="362">
        <v>1.012</v>
      </c>
      <c r="N15" s="362">
        <v>1.0109999999999999</v>
      </c>
      <c r="O15" s="362">
        <v>1.0089999999999999</v>
      </c>
      <c r="P15" s="362">
        <v>1.0069999999999999</v>
      </c>
      <c r="Q15" s="362" t="s">
        <v>34</v>
      </c>
    </row>
    <row r="16" spans="1:17" ht="13.15" customHeight="1">
      <c r="A16" s="12">
        <f t="shared" si="0"/>
        <v>2007</v>
      </c>
      <c r="B16" s="362">
        <v>2.9049999999999998</v>
      </c>
      <c r="C16" s="362">
        <v>1.5469999999999999</v>
      </c>
      <c r="D16" s="362">
        <v>1.246</v>
      </c>
      <c r="E16" s="362">
        <v>1.1399999999999999</v>
      </c>
      <c r="F16" s="362">
        <v>1.0920000000000001</v>
      </c>
      <c r="G16" s="362">
        <v>1.0660000000000001</v>
      </c>
      <c r="H16" s="362">
        <v>1.046</v>
      </c>
      <c r="I16" s="362">
        <v>1.0329999999999999</v>
      </c>
      <c r="J16" s="362">
        <v>1.0269999999999999</v>
      </c>
      <c r="K16" s="362">
        <v>1.02</v>
      </c>
      <c r="L16" s="362">
        <v>1.016</v>
      </c>
      <c r="M16" s="362">
        <v>1.0129999999999999</v>
      </c>
      <c r="N16" s="362">
        <v>1.0129999999999999</v>
      </c>
      <c r="O16" s="362">
        <v>1.0069999999999999</v>
      </c>
      <c r="P16" s="362" t="s">
        <v>34</v>
      </c>
      <c r="Q16" s="362" t="s">
        <v>34</v>
      </c>
    </row>
    <row r="17" spans="1:17" ht="13.15" customHeight="1">
      <c r="A17" s="12">
        <f t="shared" si="0"/>
        <v>2008</v>
      </c>
      <c r="B17" s="362">
        <v>2.927</v>
      </c>
      <c r="C17" s="362">
        <v>1.577</v>
      </c>
      <c r="D17" s="362">
        <v>1.2709999999999999</v>
      </c>
      <c r="E17" s="362">
        <v>1.1499999999999999</v>
      </c>
      <c r="F17" s="362">
        <v>1.0920000000000001</v>
      </c>
      <c r="G17" s="362">
        <v>1.06</v>
      </c>
      <c r="H17" s="362">
        <v>1.0409999999999999</v>
      </c>
      <c r="I17" s="362">
        <v>1.0269999999999999</v>
      </c>
      <c r="J17" s="362">
        <v>1.0229999999999999</v>
      </c>
      <c r="K17" s="362">
        <v>1.018</v>
      </c>
      <c r="L17" s="362">
        <v>1.0149999999999999</v>
      </c>
      <c r="M17" s="362">
        <v>1.01</v>
      </c>
      <c r="N17" s="362">
        <v>1.0089999999999999</v>
      </c>
      <c r="O17" s="362" t="s">
        <v>34</v>
      </c>
      <c r="P17" s="362" t="s">
        <v>34</v>
      </c>
      <c r="Q17" s="362" t="s">
        <v>34</v>
      </c>
    </row>
    <row r="18" spans="1:17" ht="13.15" customHeight="1">
      <c r="A18" s="12">
        <f t="shared" si="0"/>
        <v>2009</v>
      </c>
      <c r="B18" s="362">
        <v>3.069</v>
      </c>
      <c r="C18" s="362">
        <v>1.6160000000000001</v>
      </c>
      <c r="D18" s="362">
        <v>1.28</v>
      </c>
      <c r="E18" s="362">
        <v>1.1559999999999999</v>
      </c>
      <c r="F18" s="362">
        <v>1.0920000000000001</v>
      </c>
      <c r="G18" s="362">
        <v>1.0609999999999999</v>
      </c>
      <c r="H18" s="362">
        <v>1.0429999999999999</v>
      </c>
      <c r="I18" s="362">
        <v>1.0309999999999999</v>
      </c>
      <c r="J18" s="362">
        <v>1.0229999999999999</v>
      </c>
      <c r="K18" s="362">
        <v>1.0189999999999999</v>
      </c>
      <c r="L18" s="362">
        <v>1.0109999999999999</v>
      </c>
      <c r="M18" s="362">
        <v>1.0129999999999999</v>
      </c>
      <c r="N18" s="362" t="s">
        <v>34</v>
      </c>
      <c r="O18" s="362" t="s">
        <v>34</v>
      </c>
      <c r="P18" s="362" t="s">
        <v>34</v>
      </c>
      <c r="Q18" s="362" t="s">
        <v>34</v>
      </c>
    </row>
    <row r="19" spans="1:17" ht="13.15" customHeight="1">
      <c r="A19" s="12">
        <f t="shared" si="0"/>
        <v>2010</v>
      </c>
      <c r="B19" s="362">
        <v>3.157</v>
      </c>
      <c r="C19" s="362">
        <v>1.6279999999999999</v>
      </c>
      <c r="D19" s="362">
        <v>1.2809999999999999</v>
      </c>
      <c r="E19" s="362">
        <v>1.147</v>
      </c>
      <c r="F19" s="362">
        <v>1.091</v>
      </c>
      <c r="G19" s="362">
        <v>1.06</v>
      </c>
      <c r="H19" s="362">
        <v>1.038</v>
      </c>
      <c r="I19" s="362">
        <v>1.0269999999999999</v>
      </c>
      <c r="J19" s="362">
        <v>1.0209999999999999</v>
      </c>
      <c r="K19" s="362">
        <v>1.0129999999999999</v>
      </c>
      <c r="L19" s="362">
        <v>1.012</v>
      </c>
      <c r="M19" s="362" t="s">
        <v>34</v>
      </c>
      <c r="N19" s="362" t="s">
        <v>34</v>
      </c>
      <c r="O19" s="362" t="s">
        <v>34</v>
      </c>
      <c r="P19" s="362" t="s">
        <v>34</v>
      </c>
      <c r="Q19" s="362" t="s">
        <v>34</v>
      </c>
    </row>
    <row r="20" spans="1:17" ht="13.15" customHeight="1">
      <c r="A20" s="12">
        <f t="shared" si="0"/>
        <v>2011</v>
      </c>
      <c r="B20" s="362">
        <v>3.2080000000000002</v>
      </c>
      <c r="C20" s="362">
        <v>1.613</v>
      </c>
      <c r="D20" s="362">
        <v>1.266</v>
      </c>
      <c r="E20" s="362">
        <v>1.1439999999999999</v>
      </c>
      <c r="F20" s="362">
        <v>1.087</v>
      </c>
      <c r="G20" s="362">
        <v>1.056</v>
      </c>
      <c r="H20" s="362">
        <v>1.0409999999999999</v>
      </c>
      <c r="I20" s="362">
        <v>1.026</v>
      </c>
      <c r="J20" s="362">
        <v>1.016</v>
      </c>
      <c r="K20" s="362">
        <v>1.016</v>
      </c>
      <c r="L20" s="362" t="s">
        <v>34</v>
      </c>
      <c r="M20" s="362" t="s">
        <v>34</v>
      </c>
      <c r="N20" s="362" t="s">
        <v>34</v>
      </c>
      <c r="O20" s="362" t="s">
        <v>34</v>
      </c>
      <c r="P20" s="362" t="s">
        <v>34</v>
      </c>
      <c r="Q20" s="362" t="s">
        <v>34</v>
      </c>
    </row>
    <row r="21" spans="1:17" ht="13.15" customHeight="1">
      <c r="A21" s="12">
        <f t="shared" si="0"/>
        <v>2012</v>
      </c>
      <c r="B21" s="362">
        <v>3.137</v>
      </c>
      <c r="C21" s="362">
        <v>1.597</v>
      </c>
      <c r="D21" s="362">
        <v>1.262</v>
      </c>
      <c r="E21" s="362">
        <v>1.137</v>
      </c>
      <c r="F21" s="362">
        <v>1.087</v>
      </c>
      <c r="G21" s="362">
        <v>1.0509999999999999</v>
      </c>
      <c r="H21" s="362">
        <v>1.034</v>
      </c>
      <c r="I21" s="362">
        <v>1.0229999999999999</v>
      </c>
      <c r="J21" s="362">
        <v>1.0169999999999999</v>
      </c>
      <c r="K21" s="362" t="s">
        <v>34</v>
      </c>
      <c r="L21" s="362" t="s">
        <v>34</v>
      </c>
      <c r="M21" s="362" t="s">
        <v>34</v>
      </c>
      <c r="N21" s="362" t="s">
        <v>34</v>
      </c>
      <c r="O21" s="362" t="s">
        <v>34</v>
      </c>
      <c r="P21" s="362" t="s">
        <v>34</v>
      </c>
      <c r="Q21" s="362" t="s">
        <v>34</v>
      </c>
    </row>
    <row r="22" spans="1:17" ht="13.15" customHeight="1">
      <c r="A22" s="12">
        <f t="shared" si="0"/>
        <v>2013</v>
      </c>
      <c r="B22" s="362">
        <v>3.169</v>
      </c>
      <c r="C22" s="362">
        <v>1.6060000000000001</v>
      </c>
      <c r="D22" s="362">
        <v>1.26</v>
      </c>
      <c r="E22" s="362">
        <v>1.129</v>
      </c>
      <c r="F22" s="362">
        <v>1.0720000000000001</v>
      </c>
      <c r="G22" s="362">
        <v>1.044</v>
      </c>
      <c r="H22" s="362">
        <v>1.028</v>
      </c>
      <c r="I22" s="362">
        <v>1.02</v>
      </c>
      <c r="J22" s="362" t="s">
        <v>34</v>
      </c>
      <c r="K22" s="362" t="s">
        <v>34</v>
      </c>
      <c r="L22" s="362" t="s">
        <v>34</v>
      </c>
      <c r="M22" s="362" t="s">
        <v>34</v>
      </c>
      <c r="N22" s="362" t="s">
        <v>34</v>
      </c>
      <c r="O22" s="362" t="s">
        <v>34</v>
      </c>
      <c r="P22" s="362" t="s">
        <v>34</v>
      </c>
      <c r="Q22" s="362" t="s">
        <v>34</v>
      </c>
    </row>
    <row r="23" spans="1:17" ht="13.15" customHeight="1">
      <c r="A23" s="12">
        <f t="shared" si="0"/>
        <v>2014</v>
      </c>
      <c r="B23" s="362">
        <v>3.2290000000000001</v>
      </c>
      <c r="C23" s="362">
        <v>1.635</v>
      </c>
      <c r="D23" s="362">
        <v>1.2569999999999999</v>
      </c>
      <c r="E23" s="362">
        <v>1.129</v>
      </c>
      <c r="F23" s="362">
        <v>1.071</v>
      </c>
      <c r="G23" s="362">
        <v>1.0389999999999999</v>
      </c>
      <c r="H23" s="362">
        <v>1.0269999999999999</v>
      </c>
      <c r="I23" s="362" t="s">
        <v>34</v>
      </c>
      <c r="J23" s="362" t="s">
        <v>34</v>
      </c>
      <c r="K23" s="362" t="s">
        <v>34</v>
      </c>
      <c r="L23" s="362" t="s">
        <v>34</v>
      </c>
      <c r="M23" s="362" t="s">
        <v>34</v>
      </c>
      <c r="N23" s="362" t="s">
        <v>34</v>
      </c>
      <c r="O23" s="362" t="s">
        <v>34</v>
      </c>
      <c r="P23" s="362" t="s">
        <v>34</v>
      </c>
      <c r="Q23" s="362" t="s">
        <v>34</v>
      </c>
    </row>
    <row r="24" spans="1:17" ht="13.15" customHeight="1">
      <c r="A24" s="12">
        <f t="shared" si="0"/>
        <v>2015</v>
      </c>
      <c r="B24" s="362">
        <v>3.278</v>
      </c>
      <c r="C24" s="362">
        <v>1.6180000000000001</v>
      </c>
      <c r="D24" s="362">
        <v>1.244</v>
      </c>
      <c r="E24" s="362">
        <v>1.119</v>
      </c>
      <c r="F24" s="362">
        <v>1.0580000000000001</v>
      </c>
      <c r="G24" s="362">
        <v>1.042</v>
      </c>
      <c r="H24" s="362" t="s">
        <v>34</v>
      </c>
      <c r="I24" s="362" t="s">
        <v>34</v>
      </c>
      <c r="J24" s="362" t="s">
        <v>34</v>
      </c>
      <c r="K24" s="362" t="s">
        <v>34</v>
      </c>
      <c r="L24" s="362" t="s">
        <v>34</v>
      </c>
      <c r="M24" s="362" t="s">
        <v>34</v>
      </c>
      <c r="N24" s="362" t="s">
        <v>34</v>
      </c>
      <c r="O24" s="362" t="s">
        <v>34</v>
      </c>
      <c r="P24" s="362" t="s">
        <v>34</v>
      </c>
      <c r="Q24" s="362" t="s">
        <v>34</v>
      </c>
    </row>
    <row r="25" spans="1:17" ht="13.15" customHeight="1">
      <c r="A25" s="12">
        <f t="shared" si="0"/>
        <v>2016</v>
      </c>
      <c r="B25" s="362">
        <v>3.2349999999999999</v>
      </c>
      <c r="C25" s="362">
        <v>1.5860000000000001</v>
      </c>
      <c r="D25" s="362">
        <v>1.23</v>
      </c>
      <c r="E25" s="362">
        <v>1.103</v>
      </c>
      <c r="F25" s="362">
        <v>1.06</v>
      </c>
      <c r="G25" s="362" t="s">
        <v>34</v>
      </c>
      <c r="H25" s="362" t="s">
        <v>34</v>
      </c>
      <c r="I25" s="362" t="s">
        <v>34</v>
      </c>
      <c r="J25" s="362" t="s">
        <v>34</v>
      </c>
      <c r="K25" s="362" t="s">
        <v>34</v>
      </c>
      <c r="L25" s="362" t="s">
        <v>34</v>
      </c>
      <c r="M25" s="362" t="s">
        <v>34</v>
      </c>
      <c r="N25" s="362" t="s">
        <v>34</v>
      </c>
      <c r="O25" s="362" t="s">
        <v>34</v>
      </c>
      <c r="P25" s="362" t="s">
        <v>34</v>
      </c>
      <c r="Q25" s="362" t="s">
        <v>34</v>
      </c>
    </row>
    <row r="26" spans="1:17" ht="13.15" customHeight="1">
      <c r="A26" s="12">
        <f t="shared" si="0"/>
        <v>2017</v>
      </c>
      <c r="B26" s="362">
        <v>3.1850000000000001</v>
      </c>
      <c r="C26" s="362">
        <v>1.569</v>
      </c>
      <c r="D26" s="362">
        <v>1.21</v>
      </c>
      <c r="E26" s="362">
        <v>1.1100000000000001</v>
      </c>
      <c r="F26" s="362" t="s">
        <v>34</v>
      </c>
      <c r="G26" s="362" t="s">
        <v>34</v>
      </c>
      <c r="H26" s="362" t="s">
        <v>34</v>
      </c>
      <c r="I26" s="362" t="s">
        <v>34</v>
      </c>
      <c r="J26" s="362" t="s">
        <v>34</v>
      </c>
      <c r="K26" s="362" t="s">
        <v>34</v>
      </c>
      <c r="L26" s="362" t="s">
        <v>34</v>
      </c>
      <c r="M26" s="362" t="s">
        <v>34</v>
      </c>
      <c r="N26" s="362" t="s">
        <v>34</v>
      </c>
      <c r="O26" s="362" t="s">
        <v>34</v>
      </c>
      <c r="P26" s="362" t="s">
        <v>34</v>
      </c>
      <c r="Q26" s="362" t="s">
        <v>34</v>
      </c>
    </row>
    <row r="27" spans="1:17" ht="13.15" customHeight="1">
      <c r="A27" s="12">
        <f t="shared" si="0"/>
        <v>2018</v>
      </c>
      <c r="B27" s="362">
        <v>3.11</v>
      </c>
      <c r="C27" s="362">
        <v>1.526</v>
      </c>
      <c r="D27" s="362">
        <v>1.222</v>
      </c>
      <c r="E27" s="362" t="s">
        <v>34</v>
      </c>
      <c r="F27" s="362" t="s">
        <v>34</v>
      </c>
      <c r="G27" s="362" t="s">
        <v>34</v>
      </c>
      <c r="H27" s="362" t="s">
        <v>34</v>
      </c>
      <c r="I27" s="362" t="s">
        <v>34</v>
      </c>
      <c r="J27" s="362" t="s">
        <v>34</v>
      </c>
      <c r="K27" s="362" t="s">
        <v>34</v>
      </c>
      <c r="L27" s="362" t="s">
        <v>34</v>
      </c>
      <c r="M27" s="362" t="s">
        <v>34</v>
      </c>
      <c r="N27" s="362" t="s">
        <v>34</v>
      </c>
      <c r="O27" s="362" t="s">
        <v>34</v>
      </c>
      <c r="P27" s="362" t="s">
        <v>34</v>
      </c>
      <c r="Q27" s="362" t="s">
        <v>34</v>
      </c>
    </row>
    <row r="28" spans="1:17" ht="13.15" customHeight="1">
      <c r="A28" s="12">
        <f t="shared" si="0"/>
        <v>2019</v>
      </c>
      <c r="B28" s="362">
        <v>3.0630000000000002</v>
      </c>
      <c r="C28" s="362">
        <v>1.55</v>
      </c>
      <c r="D28" s="362" t="s">
        <v>34</v>
      </c>
      <c r="E28" s="362" t="s">
        <v>34</v>
      </c>
      <c r="F28" s="362" t="s">
        <v>34</v>
      </c>
      <c r="G28" s="362" t="s">
        <v>34</v>
      </c>
      <c r="H28" s="362" t="s">
        <v>34</v>
      </c>
      <c r="I28" s="362" t="s">
        <v>34</v>
      </c>
      <c r="J28" s="362" t="s">
        <v>34</v>
      </c>
      <c r="K28" s="362" t="s">
        <v>34</v>
      </c>
      <c r="L28" s="362" t="s">
        <v>34</v>
      </c>
      <c r="M28" s="362" t="s">
        <v>34</v>
      </c>
      <c r="N28" s="362" t="s">
        <v>34</v>
      </c>
      <c r="O28" s="362" t="s">
        <v>34</v>
      </c>
      <c r="P28" s="362" t="s">
        <v>34</v>
      </c>
      <c r="Q28" s="362" t="s">
        <v>34</v>
      </c>
    </row>
    <row r="29" spans="1:17" ht="13.15" customHeight="1">
      <c r="A29" s="12">
        <f>'Exhibit 2.2.1'!A29</f>
        <v>2020</v>
      </c>
      <c r="B29" s="362">
        <v>2.956</v>
      </c>
      <c r="C29" s="362" t="s">
        <v>34</v>
      </c>
      <c r="D29" s="362" t="s">
        <v>34</v>
      </c>
      <c r="E29" s="362" t="s">
        <v>34</v>
      </c>
      <c r="F29" s="362" t="s">
        <v>34</v>
      </c>
      <c r="G29" s="362" t="s">
        <v>34</v>
      </c>
      <c r="H29" s="362" t="s">
        <v>34</v>
      </c>
      <c r="I29" s="362" t="s">
        <v>34</v>
      </c>
      <c r="J29" s="362" t="s">
        <v>34</v>
      </c>
      <c r="K29" s="362" t="s">
        <v>34</v>
      </c>
      <c r="L29" s="362" t="s">
        <v>34</v>
      </c>
      <c r="M29" s="362" t="s">
        <v>34</v>
      </c>
      <c r="N29" s="362" t="s">
        <v>34</v>
      </c>
      <c r="O29" s="362" t="s">
        <v>34</v>
      </c>
      <c r="P29" s="362" t="s">
        <v>34</v>
      </c>
      <c r="Q29" s="362" t="s">
        <v>34</v>
      </c>
    </row>
    <row r="30" spans="1:17" ht="13.15" customHeight="1">
      <c r="A30" s="120"/>
      <c r="B30" s="159"/>
      <c r="C30" s="120"/>
      <c r="D30" s="120"/>
      <c r="E30" s="120"/>
      <c r="F30" s="120"/>
      <c r="G30" s="120"/>
      <c r="H30" s="120"/>
      <c r="I30" s="120"/>
      <c r="J30" s="120"/>
      <c r="K30" s="120"/>
      <c r="L30" s="120"/>
      <c r="M30" s="120"/>
      <c r="N30" s="120"/>
      <c r="O30" s="120"/>
      <c r="P30" s="120"/>
      <c r="Q30" s="205"/>
    </row>
    <row r="31" spans="1:17" ht="13.15" customHeight="1">
      <c r="A31" s="12" t="s">
        <v>20</v>
      </c>
      <c r="B31" s="16">
        <f ca="1">OFFSET(B$30,-COUNTA($B$4:B$4),0)</f>
        <v>2.956</v>
      </c>
      <c r="C31" s="16">
        <f ca="1">OFFSET(C$30,-COUNTA($B$4:C$4),0)</f>
        <v>1.55</v>
      </c>
      <c r="D31" s="16">
        <f ca="1">OFFSET(D$30,-COUNTA($B$4:D$4),0)</f>
        <v>1.222</v>
      </c>
      <c r="E31" s="16">
        <f ca="1">OFFSET(E$30,-COUNTA($B$4:E$4),0)</f>
        <v>1.1100000000000001</v>
      </c>
      <c r="F31" s="16">
        <f ca="1">OFFSET(F$30,-COUNTA($B$4:F$4),0)</f>
        <v>1.06</v>
      </c>
      <c r="G31" s="16">
        <f ca="1">OFFSET(G$30,-COUNTA($B$4:G$4),0)</f>
        <v>1.042</v>
      </c>
      <c r="H31" s="16">
        <f ca="1">OFFSET(H$30,-COUNTA($B$4:H$4),0)</f>
        <v>1.0269999999999999</v>
      </c>
      <c r="I31" s="16">
        <f ca="1">OFFSET(I$30,-COUNTA($B$4:I$4),0)</f>
        <v>1.02</v>
      </c>
      <c r="J31" s="16">
        <f ca="1">AVERAGE(OFFSET(J$28:J$30,-COUNTA($B$4:J$4),0))</f>
        <v>1.018</v>
      </c>
      <c r="K31" s="16">
        <f ca="1">AVERAGE(OFFSET(K$28:K$30,-COUNTA($B$4:K$4),0))</f>
        <v>1.016</v>
      </c>
      <c r="L31" s="16">
        <f ca="1">AVERAGE(OFFSET(L$28:L$30,-COUNTA($B$4:L$4),0))</f>
        <v>1.0126666666666666</v>
      </c>
      <c r="M31" s="16">
        <f ca="1">AVERAGE(OFFSET(M$28:M$30,-COUNTA($B$4:M$4),0))</f>
        <v>1.0119999999999998</v>
      </c>
      <c r="N31" s="16">
        <f ca="1">AVERAGE(OFFSET(N$28:N$30,-COUNTA($B$4:N$4),0))</f>
        <v>1.0109999999999999</v>
      </c>
      <c r="O31" s="16">
        <f ca="1">AVERAGE(OFFSET(O$28:O$30,-COUNTA($B$4:O$4),0))</f>
        <v>1.0086666666666666</v>
      </c>
      <c r="P31" s="16">
        <f ca="1">AVERAGE(OFFSET(P$28:P$30,-COUNTA($B$4:P$4),0))</f>
        <v>1.0086666666666666</v>
      </c>
      <c r="Q31" s="16">
        <f ca="1">AVERAGE(OFFSET(Q$28:Q$30,-COUNTA($B$4:Q$4),0))</f>
        <v>1.006</v>
      </c>
    </row>
    <row r="32" spans="1:17" ht="13.15" customHeight="1">
      <c r="A32" s="12" t="s">
        <v>21</v>
      </c>
      <c r="B32" s="13">
        <f t="shared" ref="B32:O32" ca="1" si="1">C32*B31</f>
        <v>8.2546887012249837</v>
      </c>
      <c r="C32" s="13">
        <f t="shared" ca="1" si="1"/>
        <v>2.7925198583305089</v>
      </c>
      <c r="D32" s="13">
        <f t="shared" ca="1" si="1"/>
        <v>1.801625715051941</v>
      </c>
      <c r="E32" s="13">
        <f t="shared" ca="1" si="1"/>
        <v>1.4743254623992972</v>
      </c>
      <c r="F32" s="13">
        <f t="shared" ca="1" si="1"/>
        <v>1.3282211372966639</v>
      </c>
      <c r="G32" s="13">
        <f t="shared" ca="1" si="1"/>
        <v>1.2530388087704376</v>
      </c>
      <c r="H32" s="13">
        <f t="shared" ca="1" si="1"/>
        <v>1.2025324460368882</v>
      </c>
      <c r="I32" s="13">
        <f t="shared" ca="1" si="1"/>
        <v>1.1709176689745748</v>
      </c>
      <c r="J32" s="13">
        <f t="shared" ca="1" si="1"/>
        <v>1.1479584989946812</v>
      </c>
      <c r="K32" s="13">
        <f t="shared" ca="1" si="1"/>
        <v>1.1276606080497851</v>
      </c>
      <c r="L32" s="13">
        <f t="shared" ca="1" si="1"/>
        <v>1.1099021732773475</v>
      </c>
      <c r="M32" s="13">
        <f t="shared" ca="1" si="1"/>
        <v>1.0960192626175256</v>
      </c>
      <c r="N32" s="13">
        <f t="shared" ca="1" si="1"/>
        <v>1.0830229867762113</v>
      </c>
      <c r="O32" s="13">
        <f t="shared" ca="1" si="1"/>
        <v>1.071239353883493</v>
      </c>
      <c r="P32" s="13">
        <f ca="1">Q32*P31</f>
        <v>1.0620350501158227</v>
      </c>
      <c r="Q32" s="13">
        <f ca="1">'Exhibit 2.3.2'!B30*'Exhibit 2.3.1'!Q31</f>
        <v>1.0529098315755017</v>
      </c>
    </row>
    <row r="33" spans="1:17">
      <c r="A33" s="120"/>
      <c r="B33" s="159"/>
      <c r="C33" s="120"/>
      <c r="D33" s="120"/>
      <c r="E33" s="120"/>
      <c r="F33" s="120"/>
      <c r="G33" s="120"/>
      <c r="H33" s="120"/>
      <c r="I33" s="120"/>
      <c r="J33" s="120"/>
      <c r="K33" s="120"/>
      <c r="L33" s="120"/>
      <c r="M33" s="120"/>
      <c r="N33" s="120"/>
      <c r="O33" s="120"/>
      <c r="P33" s="120"/>
      <c r="Q33" s="120"/>
    </row>
    <row r="34" spans="1:17" ht="12.75" customHeight="1">
      <c r="A34" s="9" t="s">
        <v>22</v>
      </c>
      <c r="B34" s="152" t="s">
        <v>480</v>
      </c>
      <c r="C34" s="249"/>
      <c r="D34" s="249"/>
      <c r="E34" s="249"/>
      <c r="F34" s="249"/>
      <c r="G34" s="249"/>
      <c r="H34" s="249"/>
      <c r="I34" s="249"/>
      <c r="J34" s="249"/>
      <c r="K34" s="249"/>
      <c r="L34" s="249"/>
      <c r="M34" s="249"/>
      <c r="N34" s="249"/>
      <c r="O34" s="249"/>
      <c r="P34" s="249"/>
    </row>
  </sheetData>
  <pageMargins left="0.7" right="0.7" top="0.75" bottom="0.75" header="0.3" footer="0.3"/>
  <pageSetup scale="81" orientation="landscape" blackAndWhite="1" r:id="rId1"/>
  <headerFooter scaleWithDoc="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V33"/>
  <sheetViews>
    <sheetView zoomScaleNormal="100" zoomScaleSheetLayoutView="100" workbookViewId="0"/>
  </sheetViews>
  <sheetFormatPr defaultColWidth="9.140625" defaultRowHeight="12.75"/>
  <cols>
    <col min="1" max="1" width="12.7109375" style="108" bestFit="1" customWidth="1"/>
    <col min="2" max="21" width="7.7109375" style="108" customWidth="1"/>
    <col min="22" max="22" width="13.7109375" style="108" customWidth="1"/>
    <col min="23" max="16384" width="9.140625" style="108"/>
  </cols>
  <sheetData>
    <row r="1" spans="1:22" ht="14.45" customHeight="1">
      <c r="A1" s="240" t="s">
        <v>33</v>
      </c>
      <c r="B1" s="240"/>
      <c r="C1" s="240"/>
      <c r="D1" s="240"/>
      <c r="E1" s="240"/>
      <c r="F1" s="240"/>
      <c r="G1" s="240"/>
      <c r="H1" s="240"/>
      <c r="I1" s="240"/>
      <c r="J1" s="240"/>
      <c r="K1" s="240"/>
      <c r="L1" s="240"/>
      <c r="M1" s="240"/>
      <c r="N1" s="240"/>
      <c r="O1" s="240"/>
      <c r="P1" s="240"/>
      <c r="Q1" s="240"/>
      <c r="R1" s="240"/>
      <c r="S1" s="240"/>
      <c r="T1" s="240"/>
      <c r="U1" s="240"/>
      <c r="V1" s="240"/>
    </row>
    <row r="2" spans="1:22">
      <c r="A2" s="220"/>
      <c r="B2" s="218"/>
      <c r="C2" s="219"/>
      <c r="D2" s="219"/>
      <c r="E2" s="219"/>
      <c r="F2" s="219"/>
      <c r="G2" s="219"/>
      <c r="H2" s="219"/>
      <c r="I2" s="219"/>
      <c r="J2" s="219"/>
      <c r="K2" s="219"/>
      <c r="L2" s="219"/>
      <c r="M2" s="219"/>
      <c r="N2" s="219"/>
      <c r="O2" s="219"/>
      <c r="P2" s="219"/>
      <c r="Q2" s="220"/>
      <c r="R2" s="234"/>
      <c r="S2" s="306"/>
      <c r="T2" s="306"/>
      <c r="U2" s="286"/>
    </row>
    <row r="3" spans="1:22">
      <c r="A3" s="220"/>
      <c r="B3" s="248" t="s">
        <v>18</v>
      </c>
      <c r="C3" s="248"/>
      <c r="D3" s="248"/>
      <c r="E3" s="248"/>
      <c r="F3" s="248"/>
      <c r="G3" s="248"/>
      <c r="H3" s="248"/>
      <c r="I3" s="248"/>
      <c r="J3" s="248"/>
      <c r="K3" s="248"/>
      <c r="L3" s="248"/>
      <c r="M3" s="248"/>
      <c r="N3" s="248"/>
      <c r="O3" s="248"/>
      <c r="P3" s="248"/>
      <c r="Q3" s="248"/>
      <c r="R3" s="248"/>
      <c r="S3" s="248"/>
      <c r="T3" s="248"/>
      <c r="U3" s="248"/>
      <c r="V3" s="248"/>
    </row>
    <row r="4" spans="1:22">
      <c r="A4" s="11" t="s">
        <v>19</v>
      </c>
      <c r="B4" s="11" t="s">
        <v>461</v>
      </c>
      <c r="C4" s="11" t="s">
        <v>462</v>
      </c>
      <c r="D4" s="11" t="s">
        <v>463</v>
      </c>
      <c r="E4" s="11" t="s">
        <v>464</v>
      </c>
      <c r="F4" s="11" t="s">
        <v>465</v>
      </c>
      <c r="G4" s="11" t="s">
        <v>466</v>
      </c>
      <c r="H4" s="11" t="s">
        <v>467</v>
      </c>
      <c r="I4" s="11" t="s">
        <v>468</v>
      </c>
      <c r="J4" s="11" t="s">
        <v>469</v>
      </c>
      <c r="K4" s="11" t="s">
        <v>470</v>
      </c>
      <c r="L4" s="11" t="s">
        <v>471</v>
      </c>
      <c r="M4" s="11" t="s">
        <v>472</v>
      </c>
      <c r="N4" s="11" t="s">
        <v>473</v>
      </c>
      <c r="O4" s="11" t="s">
        <v>474</v>
      </c>
      <c r="P4" s="11" t="s">
        <v>475</v>
      </c>
      <c r="Q4" s="11" t="s">
        <v>476</v>
      </c>
      <c r="R4" s="11" t="s">
        <v>477</v>
      </c>
      <c r="S4" s="11" t="s">
        <v>478</v>
      </c>
      <c r="T4" s="11" t="s">
        <v>479</v>
      </c>
      <c r="U4" s="19" t="s">
        <v>507</v>
      </c>
      <c r="V4" s="19" t="s">
        <v>511</v>
      </c>
    </row>
    <row r="5" spans="1:22">
      <c r="A5" s="1">
        <f t="shared" ref="A5:A25" si="0">+A6-1</f>
        <v>1983</v>
      </c>
      <c r="B5" s="362" t="s">
        <v>34</v>
      </c>
      <c r="C5" s="362" t="s">
        <v>34</v>
      </c>
      <c r="D5" s="362" t="s">
        <v>34</v>
      </c>
      <c r="E5" s="362" t="s">
        <v>34</v>
      </c>
      <c r="F5" s="362" t="s">
        <v>34</v>
      </c>
      <c r="G5" s="362" t="s">
        <v>34</v>
      </c>
      <c r="H5" s="362" t="s">
        <v>34</v>
      </c>
      <c r="I5" s="362" t="s">
        <v>34</v>
      </c>
      <c r="J5" s="362">
        <v>1.0009999999999999</v>
      </c>
      <c r="K5" s="362">
        <v>1.0009999999999999</v>
      </c>
      <c r="L5" s="362">
        <v>1.0009999999999999</v>
      </c>
      <c r="M5" s="362">
        <v>1.0009999999999999</v>
      </c>
      <c r="N5" s="362">
        <v>1.0009999999999999</v>
      </c>
      <c r="O5" s="362">
        <v>1.0009999999999999</v>
      </c>
      <c r="P5" s="362">
        <v>1.0009999999999999</v>
      </c>
      <c r="Q5" s="362">
        <v>1.0009999999999999</v>
      </c>
      <c r="R5" s="362">
        <v>1.0009999999999999</v>
      </c>
      <c r="S5" s="362">
        <v>1.0009999999999999</v>
      </c>
      <c r="T5" s="362">
        <v>1.0009999999999999</v>
      </c>
      <c r="U5" s="21">
        <v>1.0009999999999999</v>
      </c>
      <c r="V5" s="110"/>
    </row>
    <row r="6" spans="1:22">
      <c r="A6" s="1">
        <f t="shared" si="0"/>
        <v>1984</v>
      </c>
      <c r="B6" s="362" t="s">
        <v>34</v>
      </c>
      <c r="C6" s="362" t="s">
        <v>34</v>
      </c>
      <c r="D6" s="362" t="s">
        <v>34</v>
      </c>
      <c r="E6" s="362" t="s">
        <v>34</v>
      </c>
      <c r="F6" s="362" t="s">
        <v>34</v>
      </c>
      <c r="G6" s="362" t="s">
        <v>34</v>
      </c>
      <c r="H6" s="362" t="s">
        <v>34</v>
      </c>
      <c r="I6" s="362">
        <v>1.0009999999999999</v>
      </c>
      <c r="J6" s="362">
        <v>1.0009999999999999</v>
      </c>
      <c r="K6" s="362">
        <v>1.0009999999999999</v>
      </c>
      <c r="L6" s="362">
        <v>1.0009999999999999</v>
      </c>
      <c r="M6" s="362">
        <v>1.0009999999999999</v>
      </c>
      <c r="N6" s="362">
        <v>1.0009999999999999</v>
      </c>
      <c r="O6" s="362">
        <v>1.0009999999999999</v>
      </c>
      <c r="P6" s="362">
        <v>1</v>
      </c>
      <c r="Q6" s="362">
        <v>1.0009999999999999</v>
      </c>
      <c r="R6" s="362">
        <v>1</v>
      </c>
      <c r="S6" s="362">
        <v>1.0009999999999999</v>
      </c>
      <c r="T6" s="362">
        <v>1.0009999999999999</v>
      </c>
      <c r="U6" s="21">
        <v>1</v>
      </c>
      <c r="V6" s="110"/>
    </row>
    <row r="7" spans="1:22">
      <c r="A7" s="1">
        <f t="shared" si="0"/>
        <v>1985</v>
      </c>
      <c r="B7" s="362" t="s">
        <v>34</v>
      </c>
      <c r="C7" s="362" t="s">
        <v>34</v>
      </c>
      <c r="D7" s="362" t="s">
        <v>34</v>
      </c>
      <c r="E7" s="362" t="s">
        <v>34</v>
      </c>
      <c r="F7" s="362" t="s">
        <v>34</v>
      </c>
      <c r="G7" s="362" t="s">
        <v>34</v>
      </c>
      <c r="H7" s="362">
        <v>1.0009999999999999</v>
      </c>
      <c r="I7" s="362">
        <v>1.0009999999999999</v>
      </c>
      <c r="J7" s="362">
        <v>1.0009999999999999</v>
      </c>
      <c r="K7" s="362">
        <v>1.0009999999999999</v>
      </c>
      <c r="L7" s="362">
        <v>1.0009999999999999</v>
      </c>
      <c r="M7" s="362">
        <v>1.002</v>
      </c>
      <c r="N7" s="362">
        <v>1.0009999999999999</v>
      </c>
      <c r="O7" s="362">
        <v>1.0009999999999999</v>
      </c>
      <c r="P7" s="362">
        <v>1.0009999999999999</v>
      </c>
      <c r="Q7" s="362">
        <v>1.0009999999999999</v>
      </c>
      <c r="R7" s="362">
        <v>1</v>
      </c>
      <c r="S7" s="362">
        <v>1</v>
      </c>
      <c r="T7" s="362">
        <v>1</v>
      </c>
      <c r="U7" s="21">
        <v>1.0009999999999999</v>
      </c>
      <c r="V7" s="110"/>
    </row>
    <row r="8" spans="1:22">
      <c r="A8" s="1">
        <f t="shared" si="0"/>
        <v>1986</v>
      </c>
      <c r="B8" s="362" t="s">
        <v>34</v>
      </c>
      <c r="C8" s="362" t="s">
        <v>34</v>
      </c>
      <c r="D8" s="362" t="s">
        <v>34</v>
      </c>
      <c r="E8" s="362" t="s">
        <v>34</v>
      </c>
      <c r="F8" s="362" t="s">
        <v>34</v>
      </c>
      <c r="G8" s="362">
        <v>1.0009999999999999</v>
      </c>
      <c r="H8" s="362">
        <v>1.0009999999999999</v>
      </c>
      <c r="I8" s="362">
        <v>1.0009999999999999</v>
      </c>
      <c r="J8" s="362">
        <v>1.0009999999999999</v>
      </c>
      <c r="K8" s="362">
        <v>1.0009999999999999</v>
      </c>
      <c r="L8" s="362">
        <v>1.0009999999999999</v>
      </c>
      <c r="M8" s="362">
        <v>1.0009999999999999</v>
      </c>
      <c r="N8" s="362">
        <v>1.0009999999999999</v>
      </c>
      <c r="O8" s="362">
        <v>1.0009999999999999</v>
      </c>
      <c r="P8" s="362">
        <v>1.0009999999999999</v>
      </c>
      <c r="Q8" s="362">
        <v>1</v>
      </c>
      <c r="R8" s="362">
        <v>1.0009999999999999</v>
      </c>
      <c r="S8" s="362">
        <v>1.0009999999999999</v>
      </c>
      <c r="T8" s="362">
        <v>1</v>
      </c>
      <c r="U8" s="21" t="s">
        <v>34</v>
      </c>
      <c r="V8" s="110"/>
    </row>
    <row r="9" spans="1:22">
      <c r="A9" s="1">
        <f t="shared" si="0"/>
        <v>1987</v>
      </c>
      <c r="B9" s="362" t="s">
        <v>34</v>
      </c>
      <c r="C9" s="362" t="s">
        <v>34</v>
      </c>
      <c r="D9" s="362" t="s">
        <v>34</v>
      </c>
      <c r="E9" s="362" t="s">
        <v>34</v>
      </c>
      <c r="F9" s="362">
        <v>1.0009999999999999</v>
      </c>
      <c r="G9" s="362">
        <v>1.0009999999999999</v>
      </c>
      <c r="H9" s="362">
        <v>1.0009999999999999</v>
      </c>
      <c r="I9" s="362">
        <v>1.0009999999999999</v>
      </c>
      <c r="J9" s="362">
        <v>1.002</v>
      </c>
      <c r="K9" s="362">
        <v>1.0009999999999999</v>
      </c>
      <c r="L9" s="362">
        <v>1.0009999999999999</v>
      </c>
      <c r="M9" s="362">
        <v>1.0009999999999999</v>
      </c>
      <c r="N9" s="362">
        <v>1.0009999999999999</v>
      </c>
      <c r="O9" s="362">
        <v>1.0009999999999999</v>
      </c>
      <c r="P9" s="362">
        <v>1.0009999999999999</v>
      </c>
      <c r="Q9" s="362">
        <v>1.0009999999999999</v>
      </c>
      <c r="R9" s="362">
        <v>1.0009999999999999</v>
      </c>
      <c r="S9" s="362">
        <v>1</v>
      </c>
      <c r="T9" s="362" t="s">
        <v>34</v>
      </c>
      <c r="U9" s="21" t="s">
        <v>34</v>
      </c>
      <c r="V9" s="110"/>
    </row>
    <row r="10" spans="1:22">
      <c r="A10" s="1">
        <f t="shared" si="0"/>
        <v>1988</v>
      </c>
      <c r="B10" s="362" t="s">
        <v>34</v>
      </c>
      <c r="C10" s="362" t="s">
        <v>34</v>
      </c>
      <c r="D10" s="362" t="s">
        <v>34</v>
      </c>
      <c r="E10" s="362">
        <v>1.0009999999999999</v>
      </c>
      <c r="F10" s="362">
        <v>1.0009999999999999</v>
      </c>
      <c r="G10" s="362">
        <v>1.0009999999999999</v>
      </c>
      <c r="H10" s="362">
        <v>1.002</v>
      </c>
      <c r="I10" s="362">
        <v>1.0009999999999999</v>
      </c>
      <c r="J10" s="362">
        <v>1.0009999999999999</v>
      </c>
      <c r="K10" s="362">
        <v>1.0009999999999999</v>
      </c>
      <c r="L10" s="362">
        <v>1.0009999999999999</v>
      </c>
      <c r="M10" s="362">
        <v>1.0009999999999999</v>
      </c>
      <c r="N10" s="362">
        <v>1.0009999999999999</v>
      </c>
      <c r="O10" s="362">
        <v>1.0009999999999999</v>
      </c>
      <c r="P10" s="362">
        <v>1.0009999999999999</v>
      </c>
      <c r="Q10" s="362">
        <v>1.0009999999999999</v>
      </c>
      <c r="R10" s="362">
        <v>1.0009999999999999</v>
      </c>
      <c r="S10" s="362" t="s">
        <v>34</v>
      </c>
      <c r="T10" s="362" t="s">
        <v>34</v>
      </c>
      <c r="U10" s="21" t="s">
        <v>34</v>
      </c>
      <c r="V10" s="110"/>
    </row>
    <row r="11" spans="1:22">
      <c r="A11" s="1">
        <f t="shared" si="0"/>
        <v>1989</v>
      </c>
      <c r="B11" s="362" t="s">
        <v>34</v>
      </c>
      <c r="C11" s="362" t="s">
        <v>34</v>
      </c>
      <c r="D11" s="362">
        <v>1.002</v>
      </c>
      <c r="E11" s="362">
        <v>1.0009999999999999</v>
      </c>
      <c r="F11" s="362">
        <v>1.0009999999999999</v>
      </c>
      <c r="G11" s="362">
        <v>1.0009999999999999</v>
      </c>
      <c r="H11" s="362">
        <v>1.0009999999999999</v>
      </c>
      <c r="I11" s="362">
        <v>1.0009999999999999</v>
      </c>
      <c r="J11" s="362">
        <v>1.0009999999999999</v>
      </c>
      <c r="K11" s="362">
        <v>1.0009999999999999</v>
      </c>
      <c r="L11" s="362">
        <v>1.0009999999999999</v>
      </c>
      <c r="M11" s="362">
        <v>1.0009999999999999</v>
      </c>
      <c r="N11" s="362">
        <v>1.0009999999999999</v>
      </c>
      <c r="O11" s="362">
        <v>1.0009999999999999</v>
      </c>
      <c r="P11" s="362">
        <v>1</v>
      </c>
      <c r="Q11" s="362">
        <v>1</v>
      </c>
      <c r="R11" s="362" t="s">
        <v>34</v>
      </c>
      <c r="S11" s="362" t="s">
        <v>34</v>
      </c>
      <c r="T11" s="362" t="s">
        <v>34</v>
      </c>
      <c r="U11" s="21" t="s">
        <v>34</v>
      </c>
      <c r="V11" s="110"/>
    </row>
    <row r="12" spans="1:22">
      <c r="A12" s="1">
        <f t="shared" si="0"/>
        <v>1990</v>
      </c>
      <c r="B12" s="362" t="s">
        <v>34</v>
      </c>
      <c r="C12" s="362">
        <v>1.002</v>
      </c>
      <c r="D12" s="362">
        <v>1.0009999999999999</v>
      </c>
      <c r="E12" s="362">
        <v>1.0009999999999999</v>
      </c>
      <c r="F12" s="362">
        <v>1.0009999999999999</v>
      </c>
      <c r="G12" s="362">
        <v>1.0009999999999999</v>
      </c>
      <c r="H12" s="362">
        <v>1.0009999999999999</v>
      </c>
      <c r="I12" s="362">
        <v>1.0009999999999999</v>
      </c>
      <c r="J12" s="362">
        <v>1.0009999999999999</v>
      </c>
      <c r="K12" s="362">
        <v>1</v>
      </c>
      <c r="L12" s="362">
        <v>1</v>
      </c>
      <c r="M12" s="362">
        <v>1.0009999999999999</v>
      </c>
      <c r="N12" s="362">
        <v>1.0009999999999999</v>
      </c>
      <c r="O12" s="362">
        <v>1.0009999999999999</v>
      </c>
      <c r="P12" s="362">
        <v>1.0009999999999999</v>
      </c>
      <c r="Q12" s="362" t="s">
        <v>34</v>
      </c>
      <c r="R12" s="362" t="s">
        <v>34</v>
      </c>
      <c r="S12" s="362" t="s">
        <v>34</v>
      </c>
      <c r="T12" s="362" t="s">
        <v>34</v>
      </c>
      <c r="U12" s="21" t="s">
        <v>34</v>
      </c>
      <c r="V12" s="110"/>
    </row>
    <row r="13" spans="1:22">
      <c r="A13" s="1">
        <f t="shared" si="0"/>
        <v>1991</v>
      </c>
      <c r="B13" s="362">
        <v>1.002</v>
      </c>
      <c r="C13" s="362">
        <v>1.002</v>
      </c>
      <c r="D13" s="362">
        <v>1.0009999999999999</v>
      </c>
      <c r="E13" s="362">
        <v>1.0009999999999999</v>
      </c>
      <c r="F13" s="362">
        <v>1.002</v>
      </c>
      <c r="G13" s="362">
        <v>1.0009999999999999</v>
      </c>
      <c r="H13" s="362">
        <v>1.0009999999999999</v>
      </c>
      <c r="I13" s="362">
        <v>1.0009999999999999</v>
      </c>
      <c r="J13" s="362">
        <v>1.0009999999999999</v>
      </c>
      <c r="K13" s="362">
        <v>1.0009999999999999</v>
      </c>
      <c r="L13" s="362">
        <v>1.0009999999999999</v>
      </c>
      <c r="M13" s="362">
        <v>1.0009999999999999</v>
      </c>
      <c r="N13" s="362">
        <v>1.0009999999999999</v>
      </c>
      <c r="O13" s="362">
        <v>1.0009999999999999</v>
      </c>
      <c r="P13" s="362" t="s">
        <v>34</v>
      </c>
      <c r="Q13" s="362" t="s">
        <v>34</v>
      </c>
      <c r="R13" s="362" t="s">
        <v>34</v>
      </c>
      <c r="S13" s="362" t="s">
        <v>34</v>
      </c>
      <c r="T13" s="362" t="s">
        <v>34</v>
      </c>
      <c r="U13" s="21" t="s">
        <v>34</v>
      </c>
      <c r="V13" s="110"/>
    </row>
    <row r="14" spans="1:22">
      <c r="A14" s="1">
        <f t="shared" si="0"/>
        <v>1992</v>
      </c>
      <c r="B14" s="362">
        <v>1.002</v>
      </c>
      <c r="C14" s="362">
        <v>1.002</v>
      </c>
      <c r="D14" s="362">
        <v>1.002</v>
      </c>
      <c r="E14" s="362">
        <v>1.002</v>
      </c>
      <c r="F14" s="362">
        <v>1.002</v>
      </c>
      <c r="G14" s="362">
        <v>1.0009999999999999</v>
      </c>
      <c r="H14" s="362">
        <v>1.0009999999999999</v>
      </c>
      <c r="I14" s="362">
        <v>1.0009999999999999</v>
      </c>
      <c r="J14" s="362">
        <v>1.0009999999999999</v>
      </c>
      <c r="K14" s="362">
        <v>1.0009999999999999</v>
      </c>
      <c r="L14" s="362">
        <v>1.0009999999999999</v>
      </c>
      <c r="M14" s="362">
        <v>1.0009999999999999</v>
      </c>
      <c r="N14" s="362">
        <v>1.0009999999999999</v>
      </c>
      <c r="O14" s="362" t="s">
        <v>34</v>
      </c>
      <c r="P14" s="362" t="s">
        <v>34</v>
      </c>
      <c r="Q14" s="362" t="s">
        <v>34</v>
      </c>
      <c r="R14" s="362" t="s">
        <v>34</v>
      </c>
      <c r="S14" s="362" t="s">
        <v>34</v>
      </c>
      <c r="T14" s="362" t="s">
        <v>34</v>
      </c>
      <c r="U14" s="21" t="s">
        <v>34</v>
      </c>
      <c r="V14" s="110"/>
    </row>
    <row r="15" spans="1:22">
      <c r="A15" s="1">
        <f t="shared" si="0"/>
        <v>1993</v>
      </c>
      <c r="B15" s="362">
        <v>1.002</v>
      </c>
      <c r="C15" s="362">
        <v>1.0029999999999999</v>
      </c>
      <c r="D15" s="362">
        <v>1.0029999999999999</v>
      </c>
      <c r="E15" s="362">
        <v>1.002</v>
      </c>
      <c r="F15" s="362">
        <v>1.002</v>
      </c>
      <c r="G15" s="362">
        <v>1.0009999999999999</v>
      </c>
      <c r="H15" s="362">
        <v>1.0009999999999999</v>
      </c>
      <c r="I15" s="362">
        <v>1.0009999999999999</v>
      </c>
      <c r="J15" s="362">
        <v>1.0009999999999999</v>
      </c>
      <c r="K15" s="362">
        <v>1.0009999999999999</v>
      </c>
      <c r="L15" s="362">
        <v>1.0009999999999999</v>
      </c>
      <c r="M15" s="362">
        <v>1.0009999999999999</v>
      </c>
      <c r="N15" s="362" t="s">
        <v>34</v>
      </c>
      <c r="O15" s="362" t="s">
        <v>34</v>
      </c>
      <c r="P15" s="362" t="s">
        <v>34</v>
      </c>
      <c r="Q15" s="362" t="s">
        <v>34</v>
      </c>
      <c r="R15" s="362" t="s">
        <v>34</v>
      </c>
      <c r="S15" s="362" t="s">
        <v>34</v>
      </c>
      <c r="T15" s="362" t="s">
        <v>34</v>
      </c>
      <c r="U15" s="21" t="s">
        <v>34</v>
      </c>
      <c r="V15" s="110"/>
    </row>
    <row r="16" spans="1:22">
      <c r="A16" s="1">
        <f t="shared" si="0"/>
        <v>1994</v>
      </c>
      <c r="B16" s="362">
        <v>1.004</v>
      </c>
      <c r="C16" s="362">
        <v>1.0029999999999999</v>
      </c>
      <c r="D16" s="362">
        <v>1.0029999999999999</v>
      </c>
      <c r="E16" s="362">
        <v>1.0029999999999999</v>
      </c>
      <c r="F16" s="362">
        <v>1.002</v>
      </c>
      <c r="G16" s="362">
        <v>1.002</v>
      </c>
      <c r="H16" s="362">
        <v>1.002</v>
      </c>
      <c r="I16" s="362">
        <v>1.0009999999999999</v>
      </c>
      <c r="J16" s="362">
        <v>1.0009999999999999</v>
      </c>
      <c r="K16" s="362">
        <v>1.0009999999999999</v>
      </c>
      <c r="L16" s="362">
        <v>1.002</v>
      </c>
      <c r="M16" s="362" t="s">
        <v>34</v>
      </c>
      <c r="N16" s="362" t="s">
        <v>34</v>
      </c>
      <c r="O16" s="362" t="s">
        <v>34</v>
      </c>
      <c r="P16" s="362" t="s">
        <v>34</v>
      </c>
      <c r="Q16" s="362" t="s">
        <v>34</v>
      </c>
      <c r="R16" s="362" t="s">
        <v>34</v>
      </c>
      <c r="S16" s="362" t="s">
        <v>34</v>
      </c>
      <c r="T16" s="362" t="s">
        <v>34</v>
      </c>
      <c r="U16" s="21" t="s">
        <v>34</v>
      </c>
      <c r="V16" s="110"/>
    </row>
    <row r="17" spans="1:22">
      <c r="A17" s="1">
        <f t="shared" si="0"/>
        <v>1995</v>
      </c>
      <c r="B17" s="362">
        <v>1.0049999999999999</v>
      </c>
      <c r="C17" s="362">
        <v>1.0049999999999999</v>
      </c>
      <c r="D17" s="362">
        <v>1.0029999999999999</v>
      </c>
      <c r="E17" s="362">
        <v>1.0029999999999999</v>
      </c>
      <c r="F17" s="362">
        <v>1.002</v>
      </c>
      <c r="G17" s="362">
        <v>1.002</v>
      </c>
      <c r="H17" s="362">
        <v>1.002</v>
      </c>
      <c r="I17" s="362">
        <v>1.0029999999999999</v>
      </c>
      <c r="J17" s="362">
        <v>1.002</v>
      </c>
      <c r="K17" s="362">
        <v>1.002</v>
      </c>
      <c r="L17" s="362" t="s">
        <v>34</v>
      </c>
      <c r="M17" s="362" t="s">
        <v>34</v>
      </c>
      <c r="N17" s="362" t="s">
        <v>34</v>
      </c>
      <c r="O17" s="362" t="s">
        <v>34</v>
      </c>
      <c r="P17" s="362" t="s">
        <v>34</v>
      </c>
      <c r="Q17" s="362" t="s">
        <v>34</v>
      </c>
      <c r="R17" s="362" t="s">
        <v>34</v>
      </c>
      <c r="S17" s="362" t="s">
        <v>34</v>
      </c>
      <c r="T17" s="362" t="s">
        <v>34</v>
      </c>
      <c r="U17" s="21" t="s">
        <v>34</v>
      </c>
      <c r="V17" s="110"/>
    </row>
    <row r="18" spans="1:22">
      <c r="A18" s="1">
        <f t="shared" si="0"/>
        <v>1996</v>
      </c>
      <c r="B18" s="362">
        <v>1.0049999999999999</v>
      </c>
      <c r="C18" s="362">
        <v>1.004</v>
      </c>
      <c r="D18" s="362">
        <v>1.0029999999999999</v>
      </c>
      <c r="E18" s="362">
        <v>1.0029999999999999</v>
      </c>
      <c r="F18" s="362">
        <v>1.002</v>
      </c>
      <c r="G18" s="362">
        <v>1.0029999999999999</v>
      </c>
      <c r="H18" s="362">
        <v>1.0029999999999999</v>
      </c>
      <c r="I18" s="362">
        <v>1.002</v>
      </c>
      <c r="J18" s="362">
        <v>1.002</v>
      </c>
      <c r="K18" s="362" t="s">
        <v>34</v>
      </c>
      <c r="L18" s="362" t="s">
        <v>34</v>
      </c>
      <c r="M18" s="362" t="s">
        <v>34</v>
      </c>
      <c r="N18" s="362" t="s">
        <v>34</v>
      </c>
      <c r="O18" s="362" t="s">
        <v>34</v>
      </c>
      <c r="P18" s="362" t="s">
        <v>34</v>
      </c>
      <c r="Q18" s="362" t="s">
        <v>34</v>
      </c>
      <c r="R18" s="362" t="s">
        <v>34</v>
      </c>
      <c r="S18" s="362" t="s">
        <v>34</v>
      </c>
      <c r="T18" s="362" t="s">
        <v>34</v>
      </c>
      <c r="U18" s="21" t="s">
        <v>34</v>
      </c>
      <c r="V18" s="110"/>
    </row>
    <row r="19" spans="1:22">
      <c r="A19" s="1">
        <f t="shared" si="0"/>
        <v>1997</v>
      </c>
      <c r="B19" s="362">
        <v>1.004</v>
      </c>
      <c r="C19" s="362">
        <v>1.0029999999999999</v>
      </c>
      <c r="D19" s="362">
        <v>1.0029999999999999</v>
      </c>
      <c r="E19" s="362">
        <v>1.002</v>
      </c>
      <c r="F19" s="362">
        <v>1.0029999999999999</v>
      </c>
      <c r="G19" s="362">
        <v>1.0029999999999999</v>
      </c>
      <c r="H19" s="362">
        <v>1.0029999999999999</v>
      </c>
      <c r="I19" s="362">
        <v>1.002</v>
      </c>
      <c r="J19" s="362" t="s">
        <v>34</v>
      </c>
      <c r="K19" s="362" t="s">
        <v>34</v>
      </c>
      <c r="L19" s="362" t="s">
        <v>34</v>
      </c>
      <c r="M19" s="362" t="s">
        <v>34</v>
      </c>
      <c r="N19" s="362" t="s">
        <v>34</v>
      </c>
      <c r="O19" s="362" t="s">
        <v>34</v>
      </c>
      <c r="P19" s="362" t="s">
        <v>34</v>
      </c>
      <c r="Q19" s="362" t="s">
        <v>34</v>
      </c>
      <c r="R19" s="362" t="s">
        <v>34</v>
      </c>
      <c r="S19" s="362" t="s">
        <v>34</v>
      </c>
      <c r="T19" s="362" t="s">
        <v>34</v>
      </c>
      <c r="U19" s="21" t="s">
        <v>34</v>
      </c>
      <c r="V19" s="110"/>
    </row>
    <row r="20" spans="1:22">
      <c r="A20" s="1">
        <f t="shared" si="0"/>
        <v>1998</v>
      </c>
      <c r="B20" s="362">
        <v>1.006</v>
      </c>
      <c r="C20" s="362">
        <v>1.004</v>
      </c>
      <c r="D20" s="362">
        <v>1.0029999999999999</v>
      </c>
      <c r="E20" s="362">
        <v>1.0029999999999999</v>
      </c>
      <c r="F20" s="362">
        <v>1.0029999999999999</v>
      </c>
      <c r="G20" s="362">
        <v>1.0029999999999999</v>
      </c>
      <c r="H20" s="362">
        <v>1.002</v>
      </c>
      <c r="I20" s="362" t="s">
        <v>34</v>
      </c>
      <c r="J20" s="362" t="s">
        <v>34</v>
      </c>
      <c r="K20" s="362" t="s">
        <v>34</v>
      </c>
      <c r="L20" s="362" t="s">
        <v>34</v>
      </c>
      <c r="M20" s="362" t="s">
        <v>34</v>
      </c>
      <c r="N20" s="362" t="s">
        <v>34</v>
      </c>
      <c r="O20" s="362" t="s">
        <v>34</v>
      </c>
      <c r="P20" s="362" t="s">
        <v>34</v>
      </c>
      <c r="Q20" s="362" t="s">
        <v>34</v>
      </c>
      <c r="R20" s="362" t="s">
        <v>34</v>
      </c>
      <c r="S20" s="362" t="s">
        <v>34</v>
      </c>
      <c r="T20" s="362" t="s">
        <v>34</v>
      </c>
      <c r="U20" s="21" t="s">
        <v>34</v>
      </c>
      <c r="V20" s="110"/>
    </row>
    <row r="21" spans="1:22">
      <c r="A21" s="1">
        <f t="shared" si="0"/>
        <v>1999</v>
      </c>
      <c r="B21" s="362">
        <v>1.004</v>
      </c>
      <c r="C21" s="362">
        <v>1.0029999999999999</v>
      </c>
      <c r="D21" s="362">
        <v>1.0029999999999999</v>
      </c>
      <c r="E21" s="362">
        <v>1.0029999999999999</v>
      </c>
      <c r="F21" s="362">
        <v>1.002</v>
      </c>
      <c r="G21" s="362">
        <v>1.002</v>
      </c>
      <c r="H21" s="362" t="s">
        <v>34</v>
      </c>
      <c r="I21" s="362" t="s">
        <v>34</v>
      </c>
      <c r="J21" s="362" t="s">
        <v>34</v>
      </c>
      <c r="K21" s="362" t="s">
        <v>34</v>
      </c>
      <c r="L21" s="362" t="s">
        <v>34</v>
      </c>
      <c r="M21" s="362" t="s">
        <v>34</v>
      </c>
      <c r="N21" s="362" t="s">
        <v>34</v>
      </c>
      <c r="O21" s="362" t="s">
        <v>34</v>
      </c>
      <c r="P21" s="362" t="s">
        <v>34</v>
      </c>
      <c r="Q21" s="362" t="s">
        <v>34</v>
      </c>
      <c r="R21" s="362" t="s">
        <v>34</v>
      </c>
      <c r="S21" s="362" t="s">
        <v>34</v>
      </c>
      <c r="T21" s="362" t="s">
        <v>34</v>
      </c>
      <c r="U21" s="21" t="s">
        <v>34</v>
      </c>
      <c r="V21" s="110"/>
    </row>
    <row r="22" spans="1:22">
      <c r="A22" s="1">
        <f t="shared" si="0"/>
        <v>2000</v>
      </c>
      <c r="B22" s="362">
        <v>1.004</v>
      </c>
      <c r="C22" s="362">
        <v>1.004</v>
      </c>
      <c r="D22" s="362">
        <v>1.0029999999999999</v>
      </c>
      <c r="E22" s="362">
        <v>1.002</v>
      </c>
      <c r="F22" s="362">
        <v>1.002</v>
      </c>
      <c r="G22" s="362" t="s">
        <v>34</v>
      </c>
      <c r="H22" s="362" t="s">
        <v>34</v>
      </c>
      <c r="I22" s="362" t="s">
        <v>34</v>
      </c>
      <c r="J22" s="362" t="s">
        <v>34</v>
      </c>
      <c r="K22" s="362" t="s">
        <v>34</v>
      </c>
      <c r="L22" s="362" t="s">
        <v>34</v>
      </c>
      <c r="M22" s="362" t="s">
        <v>34</v>
      </c>
      <c r="N22" s="362" t="s">
        <v>34</v>
      </c>
      <c r="O22" s="362" t="s">
        <v>34</v>
      </c>
      <c r="P22" s="362" t="s">
        <v>34</v>
      </c>
      <c r="Q22" s="362" t="s">
        <v>34</v>
      </c>
      <c r="R22" s="362" t="s">
        <v>34</v>
      </c>
      <c r="S22" s="362" t="s">
        <v>34</v>
      </c>
      <c r="T22" s="362" t="s">
        <v>34</v>
      </c>
      <c r="U22" s="21" t="s">
        <v>34</v>
      </c>
      <c r="V22" s="110"/>
    </row>
    <row r="23" spans="1:22">
      <c r="A23" s="1">
        <f t="shared" si="0"/>
        <v>2001</v>
      </c>
      <c r="B23" s="362">
        <v>1.0049999999999999</v>
      </c>
      <c r="C23" s="362">
        <v>1.0049999999999999</v>
      </c>
      <c r="D23" s="362">
        <v>1.004</v>
      </c>
      <c r="E23" s="362">
        <v>1.0029999999999999</v>
      </c>
      <c r="F23" s="362" t="s">
        <v>34</v>
      </c>
      <c r="G23" s="362" t="s">
        <v>34</v>
      </c>
      <c r="H23" s="362" t="s">
        <v>34</v>
      </c>
      <c r="I23" s="362" t="s">
        <v>34</v>
      </c>
      <c r="J23" s="362" t="s">
        <v>34</v>
      </c>
      <c r="K23" s="362" t="s">
        <v>34</v>
      </c>
      <c r="L23" s="362" t="s">
        <v>34</v>
      </c>
      <c r="M23" s="362" t="s">
        <v>34</v>
      </c>
      <c r="N23" s="362" t="s">
        <v>34</v>
      </c>
      <c r="O23" s="362" t="s">
        <v>34</v>
      </c>
      <c r="P23" s="362" t="s">
        <v>34</v>
      </c>
      <c r="Q23" s="362" t="s">
        <v>34</v>
      </c>
      <c r="R23" s="362" t="s">
        <v>34</v>
      </c>
      <c r="S23" s="362" t="s">
        <v>34</v>
      </c>
      <c r="T23" s="362" t="s">
        <v>34</v>
      </c>
      <c r="U23" s="21" t="s">
        <v>34</v>
      </c>
      <c r="V23" s="110"/>
    </row>
    <row r="24" spans="1:22">
      <c r="A24" s="1">
        <f t="shared" si="0"/>
        <v>2002</v>
      </c>
      <c r="B24" s="362">
        <v>1.004</v>
      </c>
      <c r="C24" s="362">
        <v>1.004</v>
      </c>
      <c r="D24" s="362">
        <v>1.0029999999999999</v>
      </c>
      <c r="E24" s="362" t="s">
        <v>34</v>
      </c>
      <c r="F24" s="362" t="s">
        <v>34</v>
      </c>
      <c r="G24" s="362" t="s">
        <v>34</v>
      </c>
      <c r="H24" s="362" t="s">
        <v>34</v>
      </c>
      <c r="I24" s="362" t="s">
        <v>34</v>
      </c>
      <c r="J24" s="362" t="s">
        <v>34</v>
      </c>
      <c r="K24" s="362" t="s">
        <v>34</v>
      </c>
      <c r="L24" s="362" t="s">
        <v>34</v>
      </c>
      <c r="M24" s="362" t="s">
        <v>34</v>
      </c>
      <c r="N24" s="362" t="s">
        <v>34</v>
      </c>
      <c r="O24" s="362" t="s">
        <v>34</v>
      </c>
      <c r="P24" s="362" t="s">
        <v>34</v>
      </c>
      <c r="Q24" s="362" t="s">
        <v>34</v>
      </c>
      <c r="R24" s="362" t="s">
        <v>34</v>
      </c>
      <c r="S24" s="362" t="s">
        <v>34</v>
      </c>
      <c r="T24" s="362" t="s">
        <v>34</v>
      </c>
      <c r="U24" s="21" t="s">
        <v>34</v>
      </c>
      <c r="V24" s="110"/>
    </row>
    <row r="25" spans="1:22">
      <c r="A25" s="1">
        <f t="shared" si="0"/>
        <v>2003</v>
      </c>
      <c r="B25" s="362">
        <v>1.0069999999999999</v>
      </c>
      <c r="C25" s="362">
        <v>1.0049999999999999</v>
      </c>
      <c r="D25" s="362" t="s">
        <v>34</v>
      </c>
      <c r="E25" s="362" t="s">
        <v>34</v>
      </c>
      <c r="F25" s="362" t="s">
        <v>34</v>
      </c>
      <c r="G25" s="362" t="s">
        <v>34</v>
      </c>
      <c r="H25" s="362" t="s">
        <v>34</v>
      </c>
      <c r="I25" s="362" t="s">
        <v>34</v>
      </c>
      <c r="J25" s="362" t="s">
        <v>34</v>
      </c>
      <c r="K25" s="362" t="s">
        <v>34</v>
      </c>
      <c r="L25" s="362" t="s">
        <v>34</v>
      </c>
      <c r="M25" s="362" t="s">
        <v>34</v>
      </c>
      <c r="N25" s="362" t="s">
        <v>34</v>
      </c>
      <c r="O25" s="362" t="s">
        <v>34</v>
      </c>
      <c r="P25" s="362" t="s">
        <v>34</v>
      </c>
      <c r="Q25" s="362" t="s">
        <v>34</v>
      </c>
      <c r="R25" s="362" t="s">
        <v>34</v>
      </c>
      <c r="S25" s="362" t="s">
        <v>34</v>
      </c>
      <c r="T25" s="362" t="s">
        <v>34</v>
      </c>
      <c r="U25" s="21" t="s">
        <v>34</v>
      </c>
      <c r="V25" s="110"/>
    </row>
    <row r="26" spans="1:22">
      <c r="A26" s="1">
        <f>'Exhibit 2.2.2'!A26</f>
        <v>2004</v>
      </c>
      <c r="B26" s="362">
        <v>1.004</v>
      </c>
      <c r="C26" s="362" t="s">
        <v>34</v>
      </c>
      <c r="D26" s="362" t="s">
        <v>34</v>
      </c>
      <c r="E26" s="362" t="s">
        <v>34</v>
      </c>
      <c r="F26" s="362" t="s">
        <v>34</v>
      </c>
      <c r="G26" s="362" t="s">
        <v>34</v>
      </c>
      <c r="H26" s="362" t="s">
        <v>34</v>
      </c>
      <c r="I26" s="362" t="s">
        <v>34</v>
      </c>
      <c r="J26" s="362" t="s">
        <v>34</v>
      </c>
      <c r="K26" s="362" t="s">
        <v>34</v>
      </c>
      <c r="L26" s="362" t="s">
        <v>34</v>
      </c>
      <c r="M26" s="362" t="s">
        <v>34</v>
      </c>
      <c r="N26" s="362" t="s">
        <v>34</v>
      </c>
      <c r="O26" s="362" t="s">
        <v>34</v>
      </c>
      <c r="P26" s="362" t="s">
        <v>34</v>
      </c>
      <c r="Q26" s="362" t="s">
        <v>34</v>
      </c>
      <c r="R26" s="362" t="s">
        <v>34</v>
      </c>
      <c r="S26" s="362" t="s">
        <v>34</v>
      </c>
      <c r="T26" s="362" t="s">
        <v>34</v>
      </c>
      <c r="U26" s="21" t="s">
        <v>34</v>
      </c>
      <c r="V26" s="110"/>
    </row>
    <row r="27" spans="1:22">
      <c r="A27" s="17"/>
      <c r="B27" s="16"/>
      <c r="C27" s="16"/>
      <c r="D27" s="16"/>
      <c r="E27" s="16"/>
      <c r="F27" s="16"/>
      <c r="G27" s="16"/>
      <c r="H27" s="16"/>
      <c r="I27" s="16"/>
      <c r="J27" s="16"/>
      <c r="K27" s="16"/>
      <c r="L27" s="16"/>
      <c r="M27" s="16"/>
      <c r="N27" s="16"/>
      <c r="O27" s="16"/>
      <c r="P27" s="16"/>
      <c r="Q27" s="17"/>
      <c r="R27" s="17"/>
      <c r="S27" s="469"/>
      <c r="T27" s="504"/>
      <c r="U27" s="17"/>
      <c r="V27" s="110"/>
    </row>
    <row r="28" spans="1:22">
      <c r="A28" s="18"/>
      <c r="B28" s="16"/>
      <c r="C28" s="16"/>
      <c r="D28" s="16"/>
      <c r="E28" s="16"/>
      <c r="F28" s="16"/>
      <c r="G28" s="16"/>
      <c r="H28" s="16"/>
      <c r="I28" s="16"/>
      <c r="J28" s="16"/>
      <c r="K28" s="16"/>
      <c r="L28" s="16"/>
      <c r="M28" s="16"/>
      <c r="N28" s="17"/>
      <c r="O28" s="17"/>
      <c r="P28" s="4"/>
      <c r="Q28" s="19"/>
      <c r="R28" s="19"/>
      <c r="V28" s="110"/>
    </row>
    <row r="29" spans="1:22">
      <c r="A29" s="1" t="s">
        <v>20</v>
      </c>
      <c r="B29" s="16">
        <f>AVERAGE(B24:B26)</f>
        <v>1.0050000000000001</v>
      </c>
      <c r="C29" s="16">
        <f>AVERAGE(C23:C25)</f>
        <v>1.0046666666666666</v>
      </c>
      <c r="D29" s="16">
        <f>AVERAGE(D22:D24)</f>
        <v>1.0033333333333332</v>
      </c>
      <c r="E29" s="16">
        <f>AVERAGE(E21:E23)</f>
        <v>1.0026666666666666</v>
      </c>
      <c r="F29" s="16">
        <f>AVERAGE(F20:F22)</f>
        <v>1.0023333333333333</v>
      </c>
      <c r="G29" s="16">
        <f>AVERAGE(G19:G21)</f>
        <v>1.0026666666666666</v>
      </c>
      <c r="H29" s="16">
        <f>AVERAGE(H18:H20)</f>
        <v>1.0026666666666666</v>
      </c>
      <c r="I29" s="16">
        <f>AVERAGE(I17:I19)</f>
        <v>1.0023333333333333</v>
      </c>
      <c r="J29" s="16">
        <f>AVERAGE(J16:J18)</f>
        <v>1.0016666666666667</v>
      </c>
      <c r="K29" s="16">
        <f>AVERAGE(K15:K17)</f>
        <v>1.0013333333333332</v>
      </c>
      <c r="L29" s="16">
        <f>AVERAGE(L14:L16)</f>
        <v>1.0013333333333332</v>
      </c>
      <c r="M29" s="16">
        <f>AVERAGE(M13:M15)</f>
        <v>1.0009999999999999</v>
      </c>
      <c r="N29" s="16">
        <f>AVERAGE(N12:N14)</f>
        <v>1.0009999999999999</v>
      </c>
      <c r="O29" s="16">
        <f>AVERAGE(O11:O13)</f>
        <v>1.0009999999999999</v>
      </c>
      <c r="P29" s="16">
        <f>AVERAGE(P10:P12)</f>
        <v>1.0006666666666666</v>
      </c>
      <c r="Q29" s="16">
        <f>AVERAGE(Q9:Q11)</f>
        <v>1.0006666666666666</v>
      </c>
      <c r="R29" s="16">
        <f>AVERAGE(R8:R10)</f>
        <v>1.0009999999999999</v>
      </c>
      <c r="S29" s="16">
        <f>AVERAGE(S7:S9)</f>
        <v>1.0003333333333333</v>
      </c>
      <c r="T29" s="16">
        <f>AVERAGE(T6:T8)</f>
        <v>1.0003333333333333</v>
      </c>
      <c r="U29" s="16">
        <f>AVERAGE(U5:U7)</f>
        <v>1.0006666666666666</v>
      </c>
      <c r="V29" s="266"/>
    </row>
    <row r="30" spans="1:22">
      <c r="A30" s="12" t="s">
        <v>21</v>
      </c>
      <c r="B30" s="16">
        <f t="shared" ref="B30:Q30" si="1">C30*B29</f>
        <v>1.0466300512678943</v>
      </c>
      <c r="C30" s="16">
        <f t="shared" si="1"/>
        <v>1.0414229365849694</v>
      </c>
      <c r="D30" s="16">
        <f t="shared" si="1"/>
        <v>1.0365855374103876</v>
      </c>
      <c r="E30" s="16">
        <f t="shared" si="1"/>
        <v>1.0331417316382603</v>
      </c>
      <c r="F30" s="16">
        <f t="shared" si="1"/>
        <v>1.0303940142668819</v>
      </c>
      <c r="G30" s="16">
        <f t="shared" si="1"/>
        <v>1.0279953584305441</v>
      </c>
      <c r="H30" s="16">
        <f t="shared" si="1"/>
        <v>1.0252613282219523</v>
      </c>
      <c r="I30" s="16">
        <f t="shared" si="1"/>
        <v>1.0225345693702983</v>
      </c>
      <c r="J30" s="16">
        <f t="shared" si="1"/>
        <v>1.0201542095480196</v>
      </c>
      <c r="K30" s="16">
        <f t="shared" si="1"/>
        <v>1.0184567815787218</v>
      </c>
      <c r="L30" s="16">
        <f t="shared" si="1"/>
        <v>1.0171006473822124</v>
      </c>
      <c r="M30" s="16">
        <f t="shared" si="1"/>
        <v>1.0157463189569367</v>
      </c>
      <c r="N30" s="16">
        <f t="shared" si="1"/>
        <v>1.0147315873695673</v>
      </c>
      <c r="O30" s="16">
        <f t="shared" si="1"/>
        <v>1.0137178695000673</v>
      </c>
      <c r="P30" s="16">
        <f t="shared" si="1"/>
        <v>1.0127051643357317</v>
      </c>
      <c r="Q30" s="16">
        <f t="shared" si="1"/>
        <v>1.0120304773508311</v>
      </c>
      <c r="R30" s="16">
        <f t="shared" ref="R30" si="2">S30*R29</f>
        <v>1.0113562398575928</v>
      </c>
      <c r="S30" s="16">
        <f t="shared" ref="S30" si="3">T30*S29</f>
        <v>1.0103458939636294</v>
      </c>
      <c r="T30" s="16">
        <f t="shared" ref="T30" si="4">U30*T29</f>
        <v>1.0100092242222221</v>
      </c>
      <c r="U30" s="16">
        <f t="shared" ref="U30" si="5">V30*U29</f>
        <v>1.0096726666666664</v>
      </c>
      <c r="V30" s="21">
        <v>1.0089999999999999</v>
      </c>
    </row>
    <row r="31" spans="1:22">
      <c r="A31" s="17"/>
      <c r="B31" s="136"/>
      <c r="C31" s="136"/>
      <c r="D31" s="136"/>
      <c r="E31" s="136"/>
      <c r="F31" s="136"/>
      <c r="G31" s="136"/>
      <c r="H31" s="137"/>
      <c r="I31" s="137"/>
      <c r="J31" s="137"/>
      <c r="K31" s="137"/>
      <c r="L31" s="137"/>
      <c r="M31" s="137"/>
      <c r="N31" s="137"/>
      <c r="O31" s="137"/>
      <c r="P31" s="137"/>
      <c r="Q31" s="16"/>
      <c r="R31" s="16"/>
      <c r="S31" s="16"/>
      <c r="T31" s="16"/>
      <c r="U31" s="16"/>
      <c r="V31" s="110"/>
    </row>
    <row r="32" spans="1:22" ht="12.75" customHeight="1">
      <c r="A32" s="20" t="s">
        <v>25</v>
      </c>
      <c r="B32" s="307" t="s">
        <v>512</v>
      </c>
      <c r="C32" s="303"/>
      <c r="D32" s="303"/>
      <c r="E32" s="303"/>
      <c r="F32" s="303"/>
      <c r="G32" s="303"/>
      <c r="H32" s="303"/>
      <c r="I32" s="303"/>
      <c r="J32" s="303"/>
      <c r="K32" s="303"/>
      <c r="L32" s="303"/>
      <c r="M32" s="303"/>
      <c r="N32" s="303"/>
      <c r="O32" s="303"/>
      <c r="P32" s="303"/>
      <c r="Q32" s="303"/>
      <c r="R32" s="231"/>
      <c r="S32" s="468"/>
      <c r="T32" s="503"/>
      <c r="U32" s="303"/>
      <c r="V32" s="110"/>
    </row>
    <row r="33" spans="1:21" ht="12.75" customHeight="1">
      <c r="A33" s="20"/>
      <c r="B33" s="307" t="s">
        <v>439</v>
      </c>
      <c r="C33" s="301"/>
      <c r="D33" s="301"/>
      <c r="E33" s="301"/>
      <c r="F33" s="301"/>
      <c r="G33" s="301"/>
      <c r="H33" s="301"/>
      <c r="I33" s="301"/>
      <c r="J33" s="301"/>
      <c r="K33" s="301"/>
      <c r="L33" s="301"/>
      <c r="M33" s="301"/>
      <c r="N33" s="301"/>
      <c r="O33" s="301"/>
      <c r="P33" s="301"/>
      <c r="Q33" s="301"/>
      <c r="R33" s="301"/>
      <c r="S33" s="460"/>
      <c r="T33" s="497"/>
      <c r="U33" s="301"/>
    </row>
  </sheetData>
  <pageMargins left="0.7" right="0.7" top="0.75" bottom="0.75" header="0.3" footer="0.3"/>
  <pageSetup scale="73" orientation="landscape" blackAndWhite="1" horizontalDpi="1200" verticalDpi="1200"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Q74"/>
  <sheetViews>
    <sheetView zoomScaleNormal="100" workbookViewId="0"/>
  </sheetViews>
  <sheetFormatPr defaultColWidth="9.140625" defaultRowHeight="12.75"/>
  <cols>
    <col min="1" max="1" width="20.5703125" style="108" customWidth="1"/>
    <col min="2" max="17" width="8.7109375" style="108" customWidth="1"/>
    <col min="18" max="16384" width="9.140625" style="108"/>
  </cols>
  <sheetData>
    <row r="1" spans="1:17" ht="13.15" customHeight="1">
      <c r="A1" s="243" t="s">
        <v>35</v>
      </c>
      <c r="B1" s="243"/>
      <c r="C1" s="243"/>
      <c r="D1" s="243"/>
      <c r="E1" s="243"/>
      <c r="F1" s="243"/>
      <c r="G1" s="243"/>
      <c r="H1" s="243"/>
      <c r="I1" s="243"/>
      <c r="J1" s="243"/>
      <c r="K1" s="243"/>
      <c r="L1" s="243"/>
      <c r="M1" s="243"/>
      <c r="N1" s="243"/>
      <c r="O1" s="243"/>
      <c r="P1" s="243"/>
      <c r="Q1" s="243"/>
    </row>
    <row r="2" spans="1:17" ht="13.15" customHeight="1"/>
    <row r="3" spans="1:17" ht="13.15" customHeight="1">
      <c r="A3" s="1" t="s">
        <v>58</v>
      </c>
      <c r="B3" s="246" t="s">
        <v>18</v>
      </c>
      <c r="C3" s="246"/>
      <c r="D3" s="246"/>
      <c r="E3" s="246"/>
      <c r="F3" s="246"/>
      <c r="G3" s="246"/>
      <c r="H3" s="246"/>
      <c r="I3" s="246"/>
      <c r="J3" s="246"/>
      <c r="K3" s="246"/>
      <c r="L3" s="246"/>
      <c r="M3" s="246"/>
      <c r="N3" s="246"/>
      <c r="O3" s="246"/>
      <c r="P3" s="246"/>
      <c r="Q3" s="246"/>
    </row>
    <row r="4" spans="1:17" ht="13.15" customHeight="1">
      <c r="A4" s="19" t="s">
        <v>19</v>
      </c>
      <c r="B4" s="11" t="s">
        <v>445</v>
      </c>
      <c r="C4" s="11" t="s">
        <v>446</v>
      </c>
      <c r="D4" s="11" t="s">
        <v>447</v>
      </c>
      <c r="E4" s="11" t="s">
        <v>448</v>
      </c>
      <c r="F4" s="11" t="s">
        <v>449</v>
      </c>
      <c r="G4" s="11" t="s">
        <v>450</v>
      </c>
      <c r="H4" s="11" t="s">
        <v>451</v>
      </c>
      <c r="I4" s="11" t="s">
        <v>452</v>
      </c>
      <c r="J4" s="11" t="s">
        <v>453</v>
      </c>
      <c r="K4" s="11" t="s">
        <v>454</v>
      </c>
      <c r="L4" s="11" t="s">
        <v>455</v>
      </c>
      <c r="M4" s="11" t="s">
        <v>456</v>
      </c>
      <c r="N4" s="11" t="s">
        <v>457</v>
      </c>
      <c r="O4" s="11" t="s">
        <v>458</v>
      </c>
      <c r="P4" s="11" t="s">
        <v>459</v>
      </c>
      <c r="Q4" s="11" t="s">
        <v>460</v>
      </c>
    </row>
    <row r="5" spans="1:17" ht="12" customHeight="1">
      <c r="A5" s="1">
        <f t="shared" ref="A5:A28" si="0">+A6-1</f>
        <v>1996</v>
      </c>
      <c r="B5" s="362" t="s">
        <v>34</v>
      </c>
      <c r="C5" s="362" t="s">
        <v>34</v>
      </c>
      <c r="D5" s="362" t="s">
        <v>34</v>
      </c>
      <c r="E5" s="362" t="s">
        <v>34</v>
      </c>
      <c r="F5" s="362" t="s">
        <v>34</v>
      </c>
      <c r="G5" s="362" t="s">
        <v>34</v>
      </c>
      <c r="H5" s="362" t="s">
        <v>34</v>
      </c>
      <c r="I5" s="362" t="s">
        <v>34</v>
      </c>
      <c r="J5" s="362" t="s">
        <v>34</v>
      </c>
      <c r="K5" s="362" t="s">
        <v>34</v>
      </c>
      <c r="L5" s="362" t="s">
        <v>34</v>
      </c>
      <c r="M5" s="362">
        <v>1.0229999999999999</v>
      </c>
      <c r="N5" s="362">
        <v>1.02</v>
      </c>
      <c r="O5" s="362">
        <v>1.018</v>
      </c>
      <c r="P5" s="362">
        <v>1.016</v>
      </c>
      <c r="Q5" s="362">
        <v>1.0129999999999999</v>
      </c>
    </row>
    <row r="6" spans="1:17" ht="12" customHeight="1">
      <c r="A6" s="1">
        <f t="shared" si="0"/>
        <v>1997</v>
      </c>
      <c r="B6" s="362" t="s">
        <v>34</v>
      </c>
      <c r="C6" s="362" t="s">
        <v>34</v>
      </c>
      <c r="D6" s="362" t="s">
        <v>34</v>
      </c>
      <c r="E6" s="362" t="s">
        <v>34</v>
      </c>
      <c r="F6" s="362" t="s">
        <v>34</v>
      </c>
      <c r="G6" s="362" t="s">
        <v>34</v>
      </c>
      <c r="H6" s="362" t="s">
        <v>34</v>
      </c>
      <c r="I6" s="362" t="s">
        <v>34</v>
      </c>
      <c r="J6" s="362" t="s">
        <v>34</v>
      </c>
      <c r="K6" s="362" t="s">
        <v>34</v>
      </c>
      <c r="L6" s="362">
        <v>1.026</v>
      </c>
      <c r="M6" s="362">
        <v>1.022</v>
      </c>
      <c r="N6" s="362">
        <v>1.0189999999999999</v>
      </c>
      <c r="O6" s="362">
        <v>1.016</v>
      </c>
      <c r="P6" s="362">
        <v>1.014</v>
      </c>
      <c r="Q6" s="362">
        <v>1.014</v>
      </c>
    </row>
    <row r="7" spans="1:17" ht="12" customHeight="1">
      <c r="A7" s="1">
        <f t="shared" si="0"/>
        <v>1998</v>
      </c>
      <c r="B7" s="362" t="s">
        <v>34</v>
      </c>
      <c r="C7" s="362" t="s">
        <v>34</v>
      </c>
      <c r="D7" s="362" t="s">
        <v>34</v>
      </c>
      <c r="E7" s="362" t="s">
        <v>34</v>
      </c>
      <c r="F7" s="362" t="s">
        <v>34</v>
      </c>
      <c r="G7" s="362" t="s">
        <v>34</v>
      </c>
      <c r="H7" s="362" t="s">
        <v>34</v>
      </c>
      <c r="I7" s="362" t="s">
        <v>34</v>
      </c>
      <c r="J7" s="362" t="s">
        <v>34</v>
      </c>
      <c r="K7" s="362">
        <v>1.032</v>
      </c>
      <c r="L7" s="362">
        <v>1.03</v>
      </c>
      <c r="M7" s="362">
        <v>1.0209999999999999</v>
      </c>
      <c r="N7" s="362">
        <v>1.0189999999999999</v>
      </c>
      <c r="O7" s="362">
        <v>1.0189999999999999</v>
      </c>
      <c r="P7" s="362">
        <v>1.0149999999999999</v>
      </c>
      <c r="Q7" s="362">
        <v>1.0169999999999999</v>
      </c>
    </row>
    <row r="8" spans="1:17" ht="12" customHeight="1">
      <c r="A8" s="1">
        <f t="shared" si="0"/>
        <v>1999</v>
      </c>
      <c r="B8" s="362" t="s">
        <v>34</v>
      </c>
      <c r="C8" s="362" t="s">
        <v>34</v>
      </c>
      <c r="D8" s="362" t="s">
        <v>34</v>
      </c>
      <c r="E8" s="362" t="s">
        <v>34</v>
      </c>
      <c r="F8" s="362" t="s">
        <v>34</v>
      </c>
      <c r="G8" s="362" t="s">
        <v>34</v>
      </c>
      <c r="H8" s="362" t="s">
        <v>34</v>
      </c>
      <c r="I8" s="362" t="s">
        <v>34</v>
      </c>
      <c r="J8" s="362">
        <v>1.032</v>
      </c>
      <c r="K8" s="362">
        <v>1.032</v>
      </c>
      <c r="L8" s="362">
        <v>1.0249999999999999</v>
      </c>
      <c r="M8" s="362">
        <v>1.0249999999999999</v>
      </c>
      <c r="N8" s="362">
        <v>1.016</v>
      </c>
      <c r="O8" s="362">
        <v>1.016</v>
      </c>
      <c r="P8" s="362">
        <v>1.018</v>
      </c>
      <c r="Q8" s="362">
        <v>1.0149999999999999</v>
      </c>
    </row>
    <row r="9" spans="1:17" ht="12" customHeight="1">
      <c r="A9" s="1">
        <f t="shared" si="0"/>
        <v>2000</v>
      </c>
      <c r="B9" s="362" t="s">
        <v>34</v>
      </c>
      <c r="C9" s="362" t="s">
        <v>34</v>
      </c>
      <c r="D9" s="362" t="s">
        <v>34</v>
      </c>
      <c r="E9" s="362" t="s">
        <v>34</v>
      </c>
      <c r="F9" s="362" t="s">
        <v>34</v>
      </c>
      <c r="G9" s="362" t="s">
        <v>34</v>
      </c>
      <c r="H9" s="362" t="s">
        <v>34</v>
      </c>
      <c r="I9" s="362">
        <v>1.038</v>
      </c>
      <c r="J9" s="362">
        <v>1.0309999999999999</v>
      </c>
      <c r="K9" s="362">
        <v>1.0269999999999999</v>
      </c>
      <c r="L9" s="362">
        <v>1.0229999999999999</v>
      </c>
      <c r="M9" s="362">
        <v>1.02</v>
      </c>
      <c r="N9" s="362">
        <v>1.02</v>
      </c>
      <c r="O9" s="362">
        <v>1.0169999999999999</v>
      </c>
      <c r="P9" s="362">
        <v>1.0129999999999999</v>
      </c>
      <c r="Q9" s="362">
        <v>1.01</v>
      </c>
    </row>
    <row r="10" spans="1:17" ht="12" customHeight="1">
      <c r="A10" s="1">
        <f t="shared" si="0"/>
        <v>2001</v>
      </c>
      <c r="B10" s="362" t="s">
        <v>34</v>
      </c>
      <c r="C10" s="362" t="s">
        <v>34</v>
      </c>
      <c r="D10" s="362" t="s">
        <v>34</v>
      </c>
      <c r="E10" s="362" t="s">
        <v>34</v>
      </c>
      <c r="F10" s="362" t="s">
        <v>34</v>
      </c>
      <c r="G10" s="362" t="s">
        <v>34</v>
      </c>
      <c r="H10" s="362">
        <v>1.0449999999999999</v>
      </c>
      <c r="I10" s="362">
        <v>1.038</v>
      </c>
      <c r="J10" s="362">
        <v>1.034</v>
      </c>
      <c r="K10" s="362">
        <v>1.03</v>
      </c>
      <c r="L10" s="362">
        <v>1.022</v>
      </c>
      <c r="M10" s="362">
        <v>1.022</v>
      </c>
      <c r="N10" s="362">
        <v>1.022</v>
      </c>
      <c r="O10" s="362">
        <v>1.0169999999999999</v>
      </c>
      <c r="P10" s="362">
        <v>1.012</v>
      </c>
      <c r="Q10" s="362">
        <v>1.0109999999999999</v>
      </c>
    </row>
    <row r="11" spans="1:17" ht="12" customHeight="1">
      <c r="A11" s="1">
        <f t="shared" si="0"/>
        <v>2002</v>
      </c>
      <c r="B11" s="362" t="s">
        <v>34</v>
      </c>
      <c r="C11" s="362" t="s">
        <v>34</v>
      </c>
      <c r="D11" s="362" t="s">
        <v>34</v>
      </c>
      <c r="E11" s="362" t="s">
        <v>34</v>
      </c>
      <c r="F11" s="362" t="s">
        <v>34</v>
      </c>
      <c r="G11" s="362">
        <v>1.054</v>
      </c>
      <c r="H11" s="362">
        <v>1.046</v>
      </c>
      <c r="I11" s="362">
        <v>1.034</v>
      </c>
      <c r="J11" s="362">
        <v>1.032</v>
      </c>
      <c r="K11" s="362">
        <v>1.024</v>
      </c>
      <c r="L11" s="362">
        <v>1.0229999999999999</v>
      </c>
      <c r="M11" s="362">
        <v>1.018</v>
      </c>
      <c r="N11" s="362">
        <v>1.016</v>
      </c>
      <c r="O11" s="362">
        <v>1.012</v>
      </c>
      <c r="P11" s="362">
        <v>1.0109999999999999</v>
      </c>
      <c r="Q11" s="362">
        <v>1.01</v>
      </c>
    </row>
    <row r="12" spans="1:17" ht="12" customHeight="1">
      <c r="A12" s="1">
        <f t="shared" si="0"/>
        <v>2003</v>
      </c>
      <c r="B12" s="362" t="s">
        <v>34</v>
      </c>
      <c r="C12" s="362" t="s">
        <v>34</v>
      </c>
      <c r="D12" s="362" t="s">
        <v>34</v>
      </c>
      <c r="E12" s="362" t="s">
        <v>34</v>
      </c>
      <c r="F12" s="362">
        <v>1.0740000000000001</v>
      </c>
      <c r="G12" s="362">
        <v>1.0569999999999999</v>
      </c>
      <c r="H12" s="362">
        <v>1.048</v>
      </c>
      <c r="I12" s="362">
        <v>1.0409999999999999</v>
      </c>
      <c r="J12" s="362">
        <v>1.03</v>
      </c>
      <c r="K12" s="362">
        <v>1.03</v>
      </c>
      <c r="L12" s="362">
        <v>1.026</v>
      </c>
      <c r="M12" s="362">
        <v>1.0189999999999999</v>
      </c>
      <c r="N12" s="362">
        <v>1.016</v>
      </c>
      <c r="O12" s="362">
        <v>1.0129999999999999</v>
      </c>
      <c r="P12" s="362">
        <v>1.012</v>
      </c>
      <c r="Q12" s="362">
        <v>1.01</v>
      </c>
    </row>
    <row r="13" spans="1:17" ht="12" customHeight="1">
      <c r="A13" s="1">
        <f t="shared" si="0"/>
        <v>2004</v>
      </c>
      <c r="B13" s="362" t="s">
        <v>34</v>
      </c>
      <c r="C13" s="362" t="s">
        <v>34</v>
      </c>
      <c r="D13" s="362" t="s">
        <v>34</v>
      </c>
      <c r="E13" s="362">
        <v>1.123</v>
      </c>
      <c r="F13" s="362">
        <v>1.0920000000000001</v>
      </c>
      <c r="G13" s="362">
        <v>1.07</v>
      </c>
      <c r="H13" s="362">
        <v>1.0549999999999999</v>
      </c>
      <c r="I13" s="362">
        <v>1.04</v>
      </c>
      <c r="J13" s="362">
        <v>1.036</v>
      </c>
      <c r="K13" s="362">
        <v>1.034</v>
      </c>
      <c r="L13" s="362">
        <v>1.024</v>
      </c>
      <c r="M13" s="362">
        <v>1.018</v>
      </c>
      <c r="N13" s="362">
        <v>1.0149999999999999</v>
      </c>
      <c r="O13" s="362">
        <v>1.012</v>
      </c>
      <c r="P13" s="362">
        <v>1.0129999999999999</v>
      </c>
      <c r="Q13" s="362">
        <v>1.0089999999999999</v>
      </c>
    </row>
    <row r="14" spans="1:17" ht="12" customHeight="1">
      <c r="A14" s="1">
        <f t="shared" si="0"/>
        <v>2005</v>
      </c>
      <c r="B14" s="362" t="s">
        <v>34</v>
      </c>
      <c r="C14" s="362" t="s">
        <v>34</v>
      </c>
      <c r="D14" s="362">
        <v>1.2090000000000001</v>
      </c>
      <c r="E14" s="362">
        <v>1.1379999999999999</v>
      </c>
      <c r="F14" s="362">
        <v>1.095</v>
      </c>
      <c r="G14" s="362">
        <v>1.073</v>
      </c>
      <c r="H14" s="362">
        <v>1.054</v>
      </c>
      <c r="I14" s="362">
        <v>1.0489999999999999</v>
      </c>
      <c r="J14" s="362">
        <v>1.038</v>
      </c>
      <c r="K14" s="362">
        <v>1.0309999999999999</v>
      </c>
      <c r="L14" s="362">
        <v>1.0209999999999999</v>
      </c>
      <c r="M14" s="362">
        <v>1.0189999999999999</v>
      </c>
      <c r="N14" s="362">
        <v>1.014</v>
      </c>
      <c r="O14" s="362">
        <v>1.0129999999999999</v>
      </c>
      <c r="P14" s="362">
        <v>1.012</v>
      </c>
      <c r="Q14" s="362">
        <v>1.008</v>
      </c>
    </row>
    <row r="15" spans="1:17" ht="12" customHeight="1">
      <c r="A15" s="1">
        <f t="shared" si="0"/>
        <v>2006</v>
      </c>
      <c r="B15" s="362" t="s">
        <v>34</v>
      </c>
      <c r="C15" s="362">
        <v>1.399</v>
      </c>
      <c r="D15" s="362">
        <v>1.22</v>
      </c>
      <c r="E15" s="362">
        <v>1.1399999999999999</v>
      </c>
      <c r="F15" s="362">
        <v>1.099</v>
      </c>
      <c r="G15" s="362">
        <v>1.0680000000000001</v>
      </c>
      <c r="H15" s="362">
        <v>1.056</v>
      </c>
      <c r="I15" s="362">
        <v>1.042</v>
      </c>
      <c r="J15" s="362">
        <v>1.034</v>
      </c>
      <c r="K15" s="362">
        <v>1.0249999999999999</v>
      </c>
      <c r="L15" s="362">
        <v>1.02</v>
      </c>
      <c r="M15" s="362">
        <v>1.0149999999999999</v>
      </c>
      <c r="N15" s="362">
        <v>1.014</v>
      </c>
      <c r="O15" s="362">
        <v>1.0109999999999999</v>
      </c>
      <c r="P15" s="362">
        <v>1.01</v>
      </c>
      <c r="Q15" s="362" t="s">
        <v>34</v>
      </c>
    </row>
    <row r="16" spans="1:17" ht="12" customHeight="1">
      <c r="A16" s="1">
        <f t="shared" si="0"/>
        <v>2007</v>
      </c>
      <c r="B16" s="362">
        <v>2.4159999999999999</v>
      </c>
      <c r="C16" s="362">
        <v>1.413</v>
      </c>
      <c r="D16" s="362">
        <v>1.23</v>
      </c>
      <c r="E16" s="362">
        <v>1.1419999999999999</v>
      </c>
      <c r="F16" s="362">
        <v>1.097</v>
      </c>
      <c r="G16" s="362">
        <v>1.075</v>
      </c>
      <c r="H16" s="362">
        <v>1.0569999999999999</v>
      </c>
      <c r="I16" s="362">
        <v>1.0409999999999999</v>
      </c>
      <c r="J16" s="362">
        <v>1.0309999999999999</v>
      </c>
      <c r="K16" s="362">
        <v>1.022</v>
      </c>
      <c r="L16" s="362">
        <v>1.02</v>
      </c>
      <c r="M16" s="362">
        <v>1.0149999999999999</v>
      </c>
      <c r="N16" s="362">
        <v>1.012</v>
      </c>
      <c r="O16" s="362">
        <v>1.01</v>
      </c>
      <c r="P16" s="362" t="s">
        <v>34</v>
      </c>
      <c r="Q16" s="362" t="s">
        <v>34</v>
      </c>
    </row>
    <row r="17" spans="1:17" ht="12" customHeight="1">
      <c r="A17" s="1">
        <f t="shared" si="0"/>
        <v>2008</v>
      </c>
      <c r="B17" s="362">
        <v>2.3250000000000002</v>
      </c>
      <c r="C17" s="362">
        <v>1.421</v>
      </c>
      <c r="D17" s="362">
        <v>1.2410000000000001</v>
      </c>
      <c r="E17" s="362">
        <v>1.1479999999999999</v>
      </c>
      <c r="F17" s="362">
        <v>1.103</v>
      </c>
      <c r="G17" s="362">
        <v>1.0720000000000001</v>
      </c>
      <c r="H17" s="362">
        <v>1.0509999999999999</v>
      </c>
      <c r="I17" s="362">
        <v>1.0349999999999999</v>
      </c>
      <c r="J17" s="362">
        <v>1.0269999999999999</v>
      </c>
      <c r="K17" s="362">
        <v>1.018</v>
      </c>
      <c r="L17" s="362">
        <v>1.0169999999999999</v>
      </c>
      <c r="M17" s="362">
        <v>1.012</v>
      </c>
      <c r="N17" s="362">
        <v>1.0089999999999999</v>
      </c>
      <c r="O17" s="362" t="s">
        <v>34</v>
      </c>
      <c r="P17" s="362" t="s">
        <v>34</v>
      </c>
      <c r="Q17" s="362" t="s">
        <v>34</v>
      </c>
    </row>
    <row r="18" spans="1:17" ht="12" customHeight="1">
      <c r="A18" s="1">
        <f t="shared" si="0"/>
        <v>2009</v>
      </c>
      <c r="B18" s="362">
        <v>2.4079999999999999</v>
      </c>
      <c r="C18" s="362">
        <v>1.4470000000000001</v>
      </c>
      <c r="D18" s="362">
        <v>1.2509999999999999</v>
      </c>
      <c r="E18" s="362">
        <v>1.1599999999999999</v>
      </c>
      <c r="F18" s="362">
        <v>1.1040000000000001</v>
      </c>
      <c r="G18" s="362">
        <v>1.0669999999999999</v>
      </c>
      <c r="H18" s="362">
        <v>1.046</v>
      </c>
      <c r="I18" s="362">
        <v>1.032</v>
      </c>
      <c r="J18" s="362">
        <v>1.024</v>
      </c>
      <c r="K18" s="362">
        <v>1.0189999999999999</v>
      </c>
      <c r="L18" s="362">
        <v>1.0129999999999999</v>
      </c>
      <c r="M18" s="362">
        <v>1.014</v>
      </c>
      <c r="N18" s="362" t="s">
        <v>34</v>
      </c>
      <c r="O18" s="362" t="s">
        <v>34</v>
      </c>
      <c r="P18" s="362" t="s">
        <v>34</v>
      </c>
      <c r="Q18" s="362" t="s">
        <v>34</v>
      </c>
    </row>
    <row r="19" spans="1:17" ht="12" customHeight="1">
      <c r="A19" s="1">
        <f t="shared" si="0"/>
        <v>2010</v>
      </c>
      <c r="B19" s="362">
        <v>2.4790000000000001</v>
      </c>
      <c r="C19" s="362">
        <v>1.468</v>
      </c>
      <c r="D19" s="362">
        <v>1.2649999999999999</v>
      </c>
      <c r="E19" s="362">
        <v>1.1519999999999999</v>
      </c>
      <c r="F19" s="362">
        <v>1.0960000000000001</v>
      </c>
      <c r="G19" s="362">
        <v>1.0660000000000001</v>
      </c>
      <c r="H19" s="362">
        <v>1.0429999999999999</v>
      </c>
      <c r="I19" s="362">
        <v>1.03</v>
      </c>
      <c r="J19" s="362">
        <v>1.024</v>
      </c>
      <c r="K19" s="362">
        <v>1.0169999999999999</v>
      </c>
      <c r="L19" s="362">
        <v>1.0129999999999999</v>
      </c>
      <c r="M19" s="362" t="s">
        <v>34</v>
      </c>
      <c r="N19" s="362" t="s">
        <v>34</v>
      </c>
      <c r="O19" s="362" t="s">
        <v>34</v>
      </c>
      <c r="P19" s="362" t="s">
        <v>34</v>
      </c>
      <c r="Q19" s="362" t="s">
        <v>34</v>
      </c>
    </row>
    <row r="20" spans="1:17" ht="12" customHeight="1">
      <c r="A20" s="1">
        <f t="shared" si="0"/>
        <v>2011</v>
      </c>
      <c r="B20" s="362">
        <v>2.58</v>
      </c>
      <c r="C20" s="362">
        <v>1.47</v>
      </c>
      <c r="D20" s="362">
        <v>1.248</v>
      </c>
      <c r="E20" s="362">
        <v>1.145</v>
      </c>
      <c r="F20" s="362">
        <v>1.095</v>
      </c>
      <c r="G20" s="362">
        <v>1.0580000000000001</v>
      </c>
      <c r="H20" s="362">
        <v>1.0409999999999999</v>
      </c>
      <c r="I20" s="362">
        <v>1.028</v>
      </c>
      <c r="J20" s="362">
        <v>1.018</v>
      </c>
      <c r="K20" s="362">
        <v>1.0149999999999999</v>
      </c>
      <c r="L20" s="362" t="s">
        <v>34</v>
      </c>
      <c r="M20" s="362" t="s">
        <v>34</v>
      </c>
      <c r="N20" s="362" t="s">
        <v>34</v>
      </c>
      <c r="O20" s="362" t="s">
        <v>34</v>
      </c>
      <c r="P20" s="362" t="s">
        <v>34</v>
      </c>
      <c r="Q20" s="362" t="s">
        <v>34</v>
      </c>
    </row>
    <row r="21" spans="1:17" ht="12" customHeight="1">
      <c r="A21" s="1">
        <f t="shared" si="0"/>
        <v>2012</v>
      </c>
      <c r="B21" s="362">
        <v>2.5609999999999999</v>
      </c>
      <c r="C21" s="362">
        <v>1.468</v>
      </c>
      <c r="D21" s="362">
        <v>1.2470000000000001</v>
      </c>
      <c r="E21" s="362">
        <v>1.143</v>
      </c>
      <c r="F21" s="362">
        <v>1.087</v>
      </c>
      <c r="G21" s="362">
        <v>1.056</v>
      </c>
      <c r="H21" s="362">
        <v>1.0389999999999999</v>
      </c>
      <c r="I21" s="362">
        <v>1.0229999999999999</v>
      </c>
      <c r="J21" s="362">
        <v>1.0189999999999999</v>
      </c>
      <c r="K21" s="362" t="s">
        <v>34</v>
      </c>
      <c r="L21" s="362" t="s">
        <v>34</v>
      </c>
      <c r="M21" s="362" t="s">
        <v>34</v>
      </c>
      <c r="N21" s="362" t="s">
        <v>34</v>
      </c>
      <c r="O21" s="362" t="s">
        <v>34</v>
      </c>
      <c r="P21" s="362" t="s">
        <v>34</v>
      </c>
      <c r="Q21" s="362" t="s">
        <v>34</v>
      </c>
    </row>
    <row r="22" spans="1:17" ht="12" customHeight="1">
      <c r="A22" s="1">
        <f t="shared" si="0"/>
        <v>2013</v>
      </c>
      <c r="B22" s="362">
        <v>2.492</v>
      </c>
      <c r="C22" s="362">
        <v>1.464</v>
      </c>
      <c r="D22" s="362">
        <v>1.238</v>
      </c>
      <c r="E22" s="362">
        <v>1.1299999999999999</v>
      </c>
      <c r="F22" s="362">
        <v>1.077</v>
      </c>
      <c r="G22" s="362">
        <v>1.048</v>
      </c>
      <c r="H22" s="362">
        <v>1.0289999999999999</v>
      </c>
      <c r="I22" s="362">
        <v>1.022</v>
      </c>
      <c r="J22" s="362" t="s">
        <v>34</v>
      </c>
      <c r="K22" s="362" t="s">
        <v>34</v>
      </c>
      <c r="L22" s="362" t="s">
        <v>34</v>
      </c>
      <c r="M22" s="362" t="s">
        <v>34</v>
      </c>
      <c r="N22" s="362" t="s">
        <v>34</v>
      </c>
      <c r="O22" s="362" t="s">
        <v>34</v>
      </c>
      <c r="P22" s="362" t="s">
        <v>34</v>
      </c>
      <c r="Q22" s="362" t="s">
        <v>34</v>
      </c>
    </row>
    <row r="23" spans="1:17" ht="12" customHeight="1">
      <c r="A23" s="1">
        <f t="shared" si="0"/>
        <v>2014</v>
      </c>
      <c r="B23" s="362">
        <v>2.5179999999999998</v>
      </c>
      <c r="C23" s="362">
        <v>1.462</v>
      </c>
      <c r="D23" s="362">
        <v>1.226</v>
      </c>
      <c r="E23" s="362">
        <v>1.121</v>
      </c>
      <c r="F23" s="362">
        <v>1.0760000000000001</v>
      </c>
      <c r="G23" s="362">
        <v>1.0429999999999999</v>
      </c>
      <c r="H23" s="362">
        <v>1.0329999999999999</v>
      </c>
      <c r="I23" s="362" t="s">
        <v>34</v>
      </c>
      <c r="J23" s="362" t="s">
        <v>34</v>
      </c>
      <c r="K23" s="362" t="s">
        <v>34</v>
      </c>
      <c r="L23" s="362" t="s">
        <v>34</v>
      </c>
      <c r="M23" s="362" t="s">
        <v>34</v>
      </c>
      <c r="N23" s="362" t="s">
        <v>34</v>
      </c>
      <c r="O23" s="362" t="s">
        <v>34</v>
      </c>
      <c r="P23" s="362" t="s">
        <v>34</v>
      </c>
      <c r="Q23" s="362" t="s">
        <v>34</v>
      </c>
    </row>
    <row r="24" spans="1:17" ht="12" customHeight="1">
      <c r="A24" s="1">
        <f t="shared" si="0"/>
        <v>2015</v>
      </c>
      <c r="B24" s="362">
        <v>2.5329999999999999</v>
      </c>
      <c r="C24" s="362">
        <v>1.4390000000000001</v>
      </c>
      <c r="D24" s="362">
        <v>1.218</v>
      </c>
      <c r="E24" s="362">
        <v>1.111</v>
      </c>
      <c r="F24" s="362">
        <v>1.0620000000000001</v>
      </c>
      <c r="G24" s="362">
        <v>1.044</v>
      </c>
      <c r="H24" s="362" t="s">
        <v>34</v>
      </c>
      <c r="I24" s="362" t="s">
        <v>34</v>
      </c>
      <c r="J24" s="362" t="s">
        <v>34</v>
      </c>
      <c r="K24" s="362" t="s">
        <v>34</v>
      </c>
      <c r="L24" s="362" t="s">
        <v>34</v>
      </c>
      <c r="M24" s="362" t="s">
        <v>34</v>
      </c>
      <c r="N24" s="362" t="s">
        <v>34</v>
      </c>
      <c r="O24" s="362" t="s">
        <v>34</v>
      </c>
      <c r="P24" s="362" t="s">
        <v>34</v>
      </c>
      <c r="Q24" s="362" t="s">
        <v>34</v>
      </c>
    </row>
    <row r="25" spans="1:17" ht="12" customHeight="1">
      <c r="A25" s="1">
        <f t="shared" si="0"/>
        <v>2016</v>
      </c>
      <c r="B25" s="362">
        <v>2.48</v>
      </c>
      <c r="C25" s="362">
        <v>1.41</v>
      </c>
      <c r="D25" s="362">
        <v>1.196</v>
      </c>
      <c r="E25" s="362">
        <v>1.099</v>
      </c>
      <c r="F25" s="362">
        <v>1.0640000000000001</v>
      </c>
      <c r="G25" s="362" t="s">
        <v>34</v>
      </c>
      <c r="H25" s="362" t="s">
        <v>34</v>
      </c>
      <c r="I25" s="362" t="s">
        <v>34</v>
      </c>
      <c r="J25" s="362" t="s">
        <v>34</v>
      </c>
      <c r="K25" s="362" t="s">
        <v>34</v>
      </c>
      <c r="L25" s="362" t="s">
        <v>34</v>
      </c>
      <c r="M25" s="362" t="s">
        <v>34</v>
      </c>
      <c r="N25" s="362" t="s">
        <v>34</v>
      </c>
      <c r="O25" s="362" t="s">
        <v>34</v>
      </c>
      <c r="P25" s="362" t="s">
        <v>34</v>
      </c>
      <c r="Q25" s="362" t="s">
        <v>34</v>
      </c>
    </row>
    <row r="26" spans="1:17" ht="12" customHeight="1">
      <c r="A26" s="1">
        <f t="shared" si="0"/>
        <v>2017</v>
      </c>
      <c r="B26" s="362">
        <v>2.3730000000000002</v>
      </c>
      <c r="C26" s="362">
        <v>1.391</v>
      </c>
      <c r="D26" s="362">
        <v>1.177</v>
      </c>
      <c r="E26" s="362">
        <v>1.1040000000000001</v>
      </c>
      <c r="F26" s="362" t="s">
        <v>34</v>
      </c>
      <c r="G26" s="362" t="s">
        <v>34</v>
      </c>
      <c r="H26" s="362" t="s">
        <v>34</v>
      </c>
      <c r="I26" s="362" t="s">
        <v>34</v>
      </c>
      <c r="J26" s="362" t="s">
        <v>34</v>
      </c>
      <c r="K26" s="362" t="s">
        <v>34</v>
      </c>
      <c r="L26" s="362" t="s">
        <v>34</v>
      </c>
      <c r="M26" s="362" t="s">
        <v>34</v>
      </c>
      <c r="N26" s="362" t="s">
        <v>34</v>
      </c>
      <c r="O26" s="362" t="s">
        <v>34</v>
      </c>
      <c r="P26" s="362" t="s">
        <v>34</v>
      </c>
      <c r="Q26" s="362" t="s">
        <v>34</v>
      </c>
    </row>
    <row r="27" spans="1:17" ht="12" customHeight="1">
      <c r="A27" s="1">
        <f t="shared" si="0"/>
        <v>2018</v>
      </c>
      <c r="B27" s="362">
        <v>2.3780000000000001</v>
      </c>
      <c r="C27" s="362">
        <v>1.3779999999999999</v>
      </c>
      <c r="D27" s="362">
        <v>1.1970000000000001</v>
      </c>
      <c r="E27" s="362" t="s">
        <v>34</v>
      </c>
      <c r="F27" s="362" t="s">
        <v>34</v>
      </c>
      <c r="G27" s="362" t="s">
        <v>34</v>
      </c>
      <c r="H27" s="362" t="s">
        <v>34</v>
      </c>
      <c r="I27" s="362" t="s">
        <v>34</v>
      </c>
      <c r="J27" s="362" t="s">
        <v>34</v>
      </c>
      <c r="K27" s="362" t="s">
        <v>34</v>
      </c>
      <c r="L27" s="362" t="s">
        <v>34</v>
      </c>
      <c r="M27" s="362" t="s">
        <v>34</v>
      </c>
      <c r="N27" s="362" t="s">
        <v>34</v>
      </c>
      <c r="O27" s="362" t="s">
        <v>34</v>
      </c>
      <c r="P27" s="362" t="s">
        <v>34</v>
      </c>
      <c r="Q27" s="362" t="s">
        <v>34</v>
      </c>
    </row>
    <row r="28" spans="1:17" ht="12" customHeight="1">
      <c r="A28" s="1">
        <f t="shared" si="0"/>
        <v>2019</v>
      </c>
      <c r="B28" s="362">
        <v>2.347</v>
      </c>
      <c r="C28" s="362">
        <v>1.4279999999999999</v>
      </c>
      <c r="D28" s="362" t="s">
        <v>34</v>
      </c>
      <c r="E28" s="362" t="s">
        <v>34</v>
      </c>
      <c r="F28" s="362" t="s">
        <v>34</v>
      </c>
      <c r="G28" s="362" t="s">
        <v>34</v>
      </c>
      <c r="H28" s="362" t="s">
        <v>34</v>
      </c>
      <c r="I28" s="362" t="s">
        <v>34</v>
      </c>
      <c r="J28" s="362" t="s">
        <v>34</v>
      </c>
      <c r="K28" s="362" t="s">
        <v>34</v>
      </c>
      <c r="L28" s="362" t="s">
        <v>34</v>
      </c>
      <c r="M28" s="362" t="s">
        <v>34</v>
      </c>
      <c r="N28" s="362" t="s">
        <v>34</v>
      </c>
      <c r="O28" s="362" t="s">
        <v>34</v>
      </c>
      <c r="P28" s="362" t="s">
        <v>34</v>
      </c>
      <c r="Q28" s="362" t="s">
        <v>34</v>
      </c>
    </row>
    <row r="29" spans="1:17" ht="12" customHeight="1">
      <c r="A29" s="1">
        <f>'Exhibit 2.3.1'!A29</f>
        <v>2020</v>
      </c>
      <c r="B29" s="362">
        <v>2.492</v>
      </c>
      <c r="C29" s="362" t="s">
        <v>34</v>
      </c>
      <c r="D29" s="362" t="s">
        <v>34</v>
      </c>
      <c r="E29" s="362" t="s">
        <v>34</v>
      </c>
      <c r="F29" s="362" t="s">
        <v>34</v>
      </c>
      <c r="G29" s="362" t="s">
        <v>34</v>
      </c>
      <c r="H29" s="362" t="s">
        <v>34</v>
      </c>
      <c r="I29" s="362" t="s">
        <v>34</v>
      </c>
      <c r="J29" s="362" t="s">
        <v>34</v>
      </c>
      <c r="K29" s="362" t="s">
        <v>34</v>
      </c>
      <c r="L29" s="362" t="s">
        <v>34</v>
      </c>
      <c r="M29" s="362" t="s">
        <v>34</v>
      </c>
      <c r="N29" s="362" t="s">
        <v>34</v>
      </c>
      <c r="O29" s="362" t="s">
        <v>34</v>
      </c>
      <c r="P29" s="362" t="s">
        <v>34</v>
      </c>
      <c r="Q29" s="362" t="s">
        <v>34</v>
      </c>
    </row>
    <row r="30" spans="1:17" ht="12" customHeight="1">
      <c r="A30" s="17"/>
      <c r="B30" s="17"/>
      <c r="C30" s="17"/>
      <c r="D30" s="17"/>
      <c r="E30" s="17"/>
      <c r="F30" s="17"/>
      <c r="G30" s="17"/>
      <c r="H30" s="17"/>
      <c r="I30" s="17"/>
      <c r="J30" s="17"/>
      <c r="K30" s="17"/>
      <c r="L30" s="17"/>
      <c r="M30" s="17"/>
      <c r="N30" s="17"/>
      <c r="O30" s="17"/>
      <c r="P30" s="17"/>
    </row>
    <row r="31" spans="1:17" ht="12" customHeight="1">
      <c r="A31" s="1" t="s">
        <v>59</v>
      </c>
      <c r="B31" s="246" t="s">
        <v>18</v>
      </c>
      <c r="C31" s="246"/>
      <c r="D31" s="246"/>
      <c r="E31" s="246"/>
      <c r="F31" s="246"/>
      <c r="G31" s="246"/>
      <c r="H31" s="246"/>
      <c r="I31" s="246"/>
      <c r="J31" s="246"/>
      <c r="K31" s="246"/>
      <c r="L31" s="246"/>
      <c r="M31" s="246"/>
      <c r="N31" s="246"/>
      <c r="O31" s="246"/>
      <c r="P31" s="246"/>
      <c r="Q31" s="246"/>
    </row>
    <row r="32" spans="1:17" ht="12" customHeight="1">
      <c r="A32" s="11" t="s">
        <v>19</v>
      </c>
      <c r="B32" s="11" t="str">
        <f>B$4</f>
        <v>24/12</v>
      </c>
      <c r="C32" s="11" t="str">
        <f t="shared" ref="C32:Q32" si="1">C$4</f>
        <v>36/24</v>
      </c>
      <c r="D32" s="11" t="str">
        <f t="shared" si="1"/>
        <v>48/36</v>
      </c>
      <c r="E32" s="11" t="str">
        <f t="shared" si="1"/>
        <v>60/48</v>
      </c>
      <c r="F32" s="11" t="str">
        <f t="shared" si="1"/>
        <v>72/60</v>
      </c>
      <c r="G32" s="11" t="str">
        <f t="shared" si="1"/>
        <v>84/72</v>
      </c>
      <c r="H32" s="11" t="str">
        <f t="shared" si="1"/>
        <v>96/84</v>
      </c>
      <c r="I32" s="11" t="str">
        <f t="shared" si="1"/>
        <v>108/96</v>
      </c>
      <c r="J32" s="11" t="str">
        <f t="shared" si="1"/>
        <v>120/108</v>
      </c>
      <c r="K32" s="11" t="str">
        <f t="shared" si="1"/>
        <v>132/120</v>
      </c>
      <c r="L32" s="11" t="str">
        <f t="shared" si="1"/>
        <v>144/132</v>
      </c>
      <c r="M32" s="11" t="str">
        <f t="shared" si="1"/>
        <v>156/144</v>
      </c>
      <c r="N32" s="11" t="str">
        <f t="shared" si="1"/>
        <v>168/156</v>
      </c>
      <c r="O32" s="11" t="str">
        <f t="shared" si="1"/>
        <v>180/168</v>
      </c>
      <c r="P32" s="11" t="str">
        <f t="shared" si="1"/>
        <v>192/180</v>
      </c>
      <c r="Q32" s="11" t="str">
        <f t="shared" si="1"/>
        <v>204/192</v>
      </c>
    </row>
    <row r="33" spans="1:17" ht="12" customHeight="1">
      <c r="A33" s="12">
        <f t="shared" ref="A33:A50" si="2">+A12</f>
        <v>2003</v>
      </c>
      <c r="B33" s="361"/>
      <c r="C33" s="361"/>
      <c r="D33" s="361"/>
      <c r="E33" s="361"/>
      <c r="F33" s="361"/>
      <c r="G33" s="361"/>
      <c r="H33" s="361"/>
      <c r="I33" s="361"/>
      <c r="J33" s="361"/>
      <c r="K33" s="361"/>
      <c r="L33" s="361"/>
      <c r="M33" s="361"/>
      <c r="N33" s="361"/>
      <c r="O33" s="361"/>
      <c r="P33" s="361"/>
      <c r="Q33" s="362">
        <v>1.0109999999999999</v>
      </c>
    </row>
    <row r="34" spans="1:17" ht="12" customHeight="1">
      <c r="A34" s="12">
        <f t="shared" si="2"/>
        <v>2004</v>
      </c>
      <c r="B34" s="362"/>
      <c r="C34" s="362"/>
      <c r="D34" s="362"/>
      <c r="E34" s="362"/>
      <c r="F34" s="362"/>
      <c r="G34" s="362"/>
      <c r="H34" s="362"/>
      <c r="I34" s="362"/>
      <c r="J34" s="362"/>
      <c r="K34" s="362"/>
      <c r="L34" s="362"/>
      <c r="M34" s="362"/>
      <c r="N34" s="362"/>
      <c r="O34" s="362"/>
      <c r="P34" s="362">
        <v>1.014</v>
      </c>
      <c r="Q34" s="362">
        <v>1.01</v>
      </c>
    </row>
    <row r="35" spans="1:17" ht="12" customHeight="1">
      <c r="A35" s="12">
        <f t="shared" si="2"/>
        <v>2005</v>
      </c>
      <c r="B35" s="362"/>
      <c r="C35" s="362"/>
      <c r="D35" s="362"/>
      <c r="E35" s="362"/>
      <c r="F35" s="362"/>
      <c r="G35" s="362"/>
      <c r="H35" s="362"/>
      <c r="I35" s="362"/>
      <c r="J35" s="362"/>
      <c r="K35" s="362"/>
      <c r="L35" s="362"/>
      <c r="M35" s="362"/>
      <c r="N35" s="362"/>
      <c r="O35" s="362">
        <v>1.0149999999999999</v>
      </c>
      <c r="P35" s="362">
        <v>1.0129999999999999</v>
      </c>
      <c r="Q35" s="362">
        <v>1.008</v>
      </c>
    </row>
    <row r="36" spans="1:17" ht="12" customHeight="1">
      <c r="A36" s="12">
        <f t="shared" si="2"/>
        <v>2006</v>
      </c>
      <c r="B36" s="362"/>
      <c r="C36" s="362"/>
      <c r="D36" s="362"/>
      <c r="E36" s="362"/>
      <c r="F36" s="362"/>
      <c r="G36" s="362"/>
      <c r="H36" s="362"/>
      <c r="I36" s="362"/>
      <c r="J36" s="362"/>
      <c r="K36" s="362"/>
      <c r="L36" s="362"/>
      <c r="M36" s="362"/>
      <c r="N36" s="362">
        <v>1.016</v>
      </c>
      <c r="O36" s="362">
        <v>1.012</v>
      </c>
      <c r="P36" s="362">
        <v>1.0109999999999999</v>
      </c>
      <c r="Q36" s="362"/>
    </row>
    <row r="37" spans="1:17" ht="12" customHeight="1">
      <c r="A37" s="12">
        <f t="shared" si="2"/>
        <v>2007</v>
      </c>
      <c r="B37" s="362"/>
      <c r="C37" s="362"/>
      <c r="D37" s="362"/>
      <c r="E37" s="362"/>
      <c r="F37" s="362"/>
      <c r="G37" s="362"/>
      <c r="H37" s="362"/>
      <c r="I37" s="362"/>
      <c r="J37" s="362"/>
      <c r="K37" s="362"/>
      <c r="L37" s="362"/>
      <c r="M37" s="362">
        <v>1.016</v>
      </c>
      <c r="N37" s="362">
        <v>1.014</v>
      </c>
      <c r="O37" s="362">
        <v>1.0109999999999999</v>
      </c>
      <c r="P37" s="362"/>
      <c r="Q37" s="362"/>
    </row>
    <row r="38" spans="1:17" ht="12" customHeight="1">
      <c r="A38" s="12">
        <f t="shared" si="2"/>
        <v>2008</v>
      </c>
      <c r="B38" s="362"/>
      <c r="C38" s="362"/>
      <c r="D38" s="362"/>
      <c r="E38" s="362"/>
      <c r="F38" s="362"/>
      <c r="G38" s="362"/>
      <c r="H38" s="362"/>
      <c r="I38" s="362"/>
      <c r="J38" s="362"/>
      <c r="K38" s="362"/>
      <c r="L38" s="362">
        <v>1.018</v>
      </c>
      <c r="M38" s="362">
        <v>1.0129999999999999</v>
      </c>
      <c r="N38" s="362">
        <v>1.01</v>
      </c>
      <c r="O38" s="362"/>
      <c r="P38" s="362"/>
      <c r="Q38" s="362"/>
    </row>
    <row r="39" spans="1:17" ht="12" customHeight="1">
      <c r="A39" s="12">
        <f t="shared" si="2"/>
        <v>2009</v>
      </c>
      <c r="B39" s="362"/>
      <c r="C39" s="362"/>
      <c r="D39" s="362"/>
      <c r="E39" s="362"/>
      <c r="F39" s="362"/>
      <c r="G39" s="362"/>
      <c r="H39" s="362"/>
      <c r="I39" s="362"/>
      <c r="J39" s="362"/>
      <c r="K39" s="362">
        <v>1.0209999999999999</v>
      </c>
      <c r="L39" s="362">
        <v>1.014</v>
      </c>
      <c r="M39" s="362">
        <v>1.0149999999999999</v>
      </c>
      <c r="N39" s="362"/>
      <c r="O39" s="362"/>
      <c r="P39" s="362"/>
      <c r="Q39" s="362"/>
    </row>
    <row r="40" spans="1:17" ht="12" customHeight="1">
      <c r="A40" s="12">
        <f t="shared" si="2"/>
        <v>2010</v>
      </c>
      <c r="B40" s="362"/>
      <c r="C40" s="362"/>
      <c r="D40" s="362"/>
      <c r="E40" s="362"/>
      <c r="F40" s="362"/>
      <c r="G40" s="362"/>
      <c r="H40" s="362"/>
      <c r="I40" s="362"/>
      <c r="J40" s="362">
        <v>1.026</v>
      </c>
      <c r="K40" s="362">
        <v>1.0189999999999999</v>
      </c>
      <c r="L40" s="362">
        <v>1.014</v>
      </c>
      <c r="M40" s="362"/>
      <c r="N40" s="362"/>
      <c r="O40" s="362"/>
      <c r="P40" s="362"/>
      <c r="Q40" s="362"/>
    </row>
    <row r="41" spans="1:17" ht="12" customHeight="1">
      <c r="A41" s="12">
        <f t="shared" si="2"/>
        <v>2011</v>
      </c>
      <c r="B41" s="362"/>
      <c r="C41" s="362"/>
      <c r="D41" s="362"/>
      <c r="E41" s="362"/>
      <c r="F41" s="362"/>
      <c r="G41" s="362"/>
      <c r="H41" s="362"/>
      <c r="I41" s="362">
        <v>1.03</v>
      </c>
      <c r="J41" s="362">
        <v>1.0189999999999999</v>
      </c>
      <c r="K41" s="362">
        <v>1.016</v>
      </c>
      <c r="L41" s="362"/>
      <c r="M41" s="362"/>
      <c r="N41" s="362"/>
      <c r="O41" s="362"/>
      <c r="P41" s="362"/>
      <c r="Q41" s="362"/>
    </row>
    <row r="42" spans="1:17" ht="12" customHeight="1">
      <c r="A42" s="12">
        <f t="shared" si="2"/>
        <v>2012</v>
      </c>
      <c r="B42" s="362"/>
      <c r="C42" s="362"/>
      <c r="D42" s="362"/>
      <c r="E42" s="362"/>
      <c r="F42" s="362"/>
      <c r="G42" s="362"/>
      <c r="H42" s="362">
        <v>1.0409999999999999</v>
      </c>
      <c r="I42" s="362">
        <v>1.0249999999999999</v>
      </c>
      <c r="J42" s="362">
        <v>1.02</v>
      </c>
      <c r="K42" s="362"/>
      <c r="L42" s="362"/>
      <c r="M42" s="362"/>
      <c r="N42" s="362"/>
      <c r="O42" s="362"/>
      <c r="P42" s="362"/>
      <c r="Q42" s="362"/>
    </row>
    <row r="43" spans="1:17" ht="12" customHeight="1">
      <c r="A43" s="12">
        <f t="shared" si="2"/>
        <v>2013</v>
      </c>
      <c r="B43" s="362"/>
      <c r="C43" s="362"/>
      <c r="D43" s="362"/>
      <c r="E43" s="362"/>
      <c r="F43" s="362"/>
      <c r="G43" s="362">
        <v>1.0509999999999999</v>
      </c>
      <c r="H43" s="362">
        <v>1.03</v>
      </c>
      <c r="I43" s="362">
        <v>1.022</v>
      </c>
      <c r="J43" s="362"/>
      <c r="K43" s="362"/>
      <c r="L43" s="362"/>
      <c r="M43" s="362"/>
      <c r="N43" s="362"/>
      <c r="O43" s="362"/>
      <c r="P43" s="362"/>
      <c r="Q43" s="362"/>
    </row>
    <row r="44" spans="1:17" ht="12" customHeight="1">
      <c r="A44" s="12">
        <f t="shared" si="2"/>
        <v>2014</v>
      </c>
      <c r="B44" s="362"/>
      <c r="C44" s="362"/>
      <c r="D44" s="362"/>
      <c r="E44" s="362"/>
      <c r="F44" s="362">
        <v>1.079</v>
      </c>
      <c r="G44" s="362">
        <v>1.0449999999999999</v>
      </c>
      <c r="H44" s="362">
        <v>1.0329999999999999</v>
      </c>
      <c r="I44" s="362"/>
      <c r="J44" s="362"/>
      <c r="K44" s="362"/>
      <c r="L44" s="362"/>
      <c r="M44" s="362"/>
      <c r="N44" s="362"/>
      <c r="O44" s="362"/>
      <c r="P44" s="362"/>
      <c r="Q44" s="362"/>
    </row>
    <row r="45" spans="1:17" ht="12" customHeight="1">
      <c r="A45" s="12">
        <f t="shared" si="2"/>
        <v>2015</v>
      </c>
      <c r="B45" s="362"/>
      <c r="C45" s="362"/>
      <c r="D45" s="362"/>
      <c r="E45" s="362">
        <v>1.1140000000000001</v>
      </c>
      <c r="F45" s="362">
        <v>1.0640000000000001</v>
      </c>
      <c r="G45" s="362">
        <v>1.044</v>
      </c>
      <c r="H45" s="362"/>
      <c r="I45" s="362"/>
      <c r="J45" s="362"/>
      <c r="K45" s="362"/>
      <c r="L45" s="362"/>
      <c r="M45" s="362"/>
      <c r="N45" s="362"/>
      <c r="O45" s="362"/>
      <c r="P45" s="362"/>
      <c r="Q45" s="362"/>
    </row>
    <row r="46" spans="1:17" ht="12" customHeight="1">
      <c r="A46" s="12">
        <f t="shared" si="2"/>
        <v>2016</v>
      </c>
      <c r="B46" s="362"/>
      <c r="C46" s="362"/>
      <c r="D46" s="362">
        <v>1.2010000000000001</v>
      </c>
      <c r="E46" s="362">
        <v>1.101</v>
      </c>
      <c r="F46" s="362">
        <v>1.0629999999999999</v>
      </c>
      <c r="G46" s="362"/>
      <c r="H46" s="362"/>
      <c r="I46" s="362"/>
      <c r="J46" s="362"/>
      <c r="K46" s="362"/>
      <c r="L46" s="362"/>
      <c r="M46" s="362"/>
      <c r="N46" s="362"/>
      <c r="O46" s="362"/>
      <c r="P46" s="362"/>
      <c r="Q46" s="362"/>
    </row>
    <row r="47" spans="1:17" ht="12" customHeight="1">
      <c r="A47" s="1">
        <f t="shared" si="2"/>
        <v>2017</v>
      </c>
      <c r="B47" s="21"/>
      <c r="C47" s="21">
        <v>1.4</v>
      </c>
      <c r="D47" s="21">
        <v>1.18</v>
      </c>
      <c r="E47" s="21">
        <v>1.101</v>
      </c>
      <c r="F47" s="21"/>
      <c r="G47" s="21"/>
      <c r="H47" s="21"/>
      <c r="I47" s="21"/>
      <c r="J47" s="21"/>
      <c r="K47" s="21"/>
      <c r="L47" s="21"/>
      <c r="M47" s="21"/>
      <c r="N47" s="21"/>
      <c r="O47" s="21"/>
      <c r="P47" s="21"/>
      <c r="Q47" s="21"/>
    </row>
    <row r="48" spans="1:17" ht="12" customHeight="1">
      <c r="A48" s="1">
        <f t="shared" si="2"/>
        <v>2018</v>
      </c>
      <c r="B48" s="21">
        <v>2.391</v>
      </c>
      <c r="C48" s="21">
        <v>1.385</v>
      </c>
      <c r="D48" s="21">
        <v>1.1919999999999999</v>
      </c>
      <c r="E48" s="21"/>
      <c r="F48" s="21"/>
      <c r="G48" s="21"/>
      <c r="H48" s="21"/>
      <c r="I48" s="21"/>
      <c r="J48" s="21"/>
      <c r="K48" s="21"/>
      <c r="L48" s="21"/>
      <c r="M48" s="21"/>
      <c r="N48" s="21"/>
      <c r="O48" s="21"/>
      <c r="P48" s="21"/>
      <c r="Q48" s="21"/>
    </row>
    <row r="49" spans="1:17" ht="12" customHeight="1">
      <c r="A49" s="1">
        <f t="shared" si="2"/>
        <v>2019</v>
      </c>
      <c r="B49" s="21">
        <v>2.36</v>
      </c>
      <c r="C49" s="21">
        <v>1.42</v>
      </c>
      <c r="D49" s="21"/>
      <c r="E49" s="21"/>
      <c r="F49" s="21"/>
      <c r="G49" s="21"/>
      <c r="H49" s="21"/>
      <c r="I49" s="21"/>
      <c r="J49" s="21"/>
      <c r="K49" s="21"/>
      <c r="L49" s="21"/>
      <c r="M49" s="21"/>
      <c r="N49" s="21"/>
      <c r="O49" s="21"/>
      <c r="P49" s="21"/>
      <c r="Q49" s="21"/>
    </row>
    <row r="50" spans="1:17" ht="12" customHeight="1">
      <c r="A50" s="1">
        <f t="shared" si="2"/>
        <v>2020</v>
      </c>
      <c r="B50" s="21">
        <v>2.4660000000000002</v>
      </c>
      <c r="C50" s="21"/>
      <c r="D50" s="21"/>
      <c r="E50" s="21"/>
      <c r="F50" s="21"/>
      <c r="G50" s="21"/>
      <c r="H50" s="21"/>
      <c r="I50" s="21"/>
      <c r="J50" s="21"/>
      <c r="K50" s="21"/>
      <c r="L50" s="21"/>
      <c r="M50" s="21"/>
      <c r="N50" s="21"/>
      <c r="O50" s="21"/>
      <c r="P50" s="21"/>
      <c r="Q50" s="21"/>
    </row>
    <row r="51" spans="1:17">
      <c r="A51" s="1"/>
      <c r="B51" s="1"/>
      <c r="C51" s="16"/>
      <c r="D51" s="16"/>
      <c r="E51" s="16"/>
      <c r="F51" s="16"/>
      <c r="G51" s="16"/>
      <c r="H51" s="16"/>
      <c r="I51" s="17"/>
      <c r="J51" s="17"/>
      <c r="K51" s="17"/>
      <c r="L51" s="17"/>
      <c r="M51" s="17"/>
      <c r="N51" s="17"/>
      <c r="O51" s="17"/>
      <c r="P51" s="17"/>
      <c r="Q51" s="110"/>
    </row>
    <row r="52" spans="1:17">
      <c r="A52" s="1" t="s">
        <v>36</v>
      </c>
      <c r="B52" s="16">
        <f ca="1">OFFSET(B$51,-COUNTA($B$4:B$4),0)</f>
        <v>2.4660000000000002</v>
      </c>
      <c r="C52" s="16">
        <f>C49</f>
        <v>1.42</v>
      </c>
      <c r="D52" s="16">
        <f>D48</f>
        <v>1.1919999999999999</v>
      </c>
      <c r="E52" s="16">
        <f>E47</f>
        <v>1.101</v>
      </c>
      <c r="F52" s="16">
        <f>F46</f>
        <v>1.0629999999999999</v>
      </c>
      <c r="G52" s="16">
        <f>G45</f>
        <v>1.044</v>
      </c>
      <c r="H52" s="16">
        <f>H44</f>
        <v>1.0329999999999999</v>
      </c>
      <c r="I52" s="16">
        <f>I43</f>
        <v>1.022</v>
      </c>
      <c r="J52" s="16">
        <f>AVERAGE(J40:J42)</f>
        <v>1.0216666666666667</v>
      </c>
      <c r="K52" s="16">
        <f>AVERAGE(K39:K41)</f>
        <v>1.0186666666666666</v>
      </c>
      <c r="L52" s="16">
        <f>AVERAGE(L38:L40)</f>
        <v>1.0153333333333334</v>
      </c>
      <c r="M52" s="16">
        <f>AVERAGE(M37:M39)</f>
        <v>1.0146666666666666</v>
      </c>
      <c r="N52" s="16">
        <f>AVERAGE(N36:N38)</f>
        <v>1.0133333333333334</v>
      </c>
      <c r="O52" s="16">
        <f>AVERAGE(O35:O37)</f>
        <v>1.0126666666666668</v>
      </c>
      <c r="P52" s="16">
        <f>AVERAGE(P34:P36)</f>
        <v>1.0126666666666668</v>
      </c>
      <c r="Q52" s="16">
        <f>AVERAGE(Q33:Q35)</f>
        <v>1.0096666666666667</v>
      </c>
    </row>
    <row r="53" spans="1:17">
      <c r="A53" s="1"/>
      <c r="B53" s="16"/>
      <c r="C53" s="16"/>
      <c r="D53" s="16"/>
      <c r="E53" s="16"/>
      <c r="F53" s="16"/>
      <c r="G53" s="16"/>
      <c r="H53" s="16"/>
      <c r="I53" s="16"/>
      <c r="J53" s="16"/>
      <c r="K53" s="16"/>
      <c r="L53" s="16"/>
      <c r="M53" s="16"/>
      <c r="N53" s="16"/>
      <c r="O53" s="16"/>
      <c r="P53" s="16"/>
      <c r="Q53" s="16"/>
    </row>
    <row r="54" spans="1:17">
      <c r="A54" s="22" t="s">
        <v>239</v>
      </c>
      <c r="B54" s="16"/>
      <c r="C54" s="16"/>
      <c r="D54" s="16"/>
      <c r="E54" s="16"/>
      <c r="F54" s="16"/>
      <c r="G54" s="16"/>
      <c r="H54" s="16"/>
      <c r="I54" s="16"/>
      <c r="J54" s="16"/>
      <c r="K54" s="16"/>
      <c r="L54" s="16"/>
      <c r="M54" s="16"/>
      <c r="N54" s="16"/>
      <c r="O54" s="16"/>
      <c r="P54" s="16"/>
      <c r="Q54" s="16"/>
    </row>
    <row r="55" spans="1:17">
      <c r="A55" s="339" t="s">
        <v>316</v>
      </c>
      <c r="B55" s="16">
        <f t="shared" ref="B55:O55" ca="1" si="3">C55*B52</f>
        <v>7.215900502982155</v>
      </c>
      <c r="C55" s="16">
        <f t="shared" si="3"/>
        <v>2.9261559217283675</v>
      </c>
      <c r="D55" s="16">
        <f t="shared" si="3"/>
        <v>2.060673184315752</v>
      </c>
      <c r="E55" s="16">
        <f t="shared" si="3"/>
        <v>1.7287526714058323</v>
      </c>
      <c r="F55" s="16">
        <f t="shared" si="3"/>
        <v>1.5701659140834081</v>
      </c>
      <c r="G55" s="16">
        <f t="shared" si="3"/>
        <v>1.4771081035591798</v>
      </c>
      <c r="H55" s="16">
        <f t="shared" si="3"/>
        <v>1.4148545053248849</v>
      </c>
      <c r="I55" s="16">
        <f t="shared" si="3"/>
        <v>1.3696558618827541</v>
      </c>
      <c r="J55" s="16">
        <f t="shared" si="3"/>
        <v>1.3401720762062173</v>
      </c>
      <c r="K55" s="16">
        <f t="shared" si="3"/>
        <v>1.3117508086847149</v>
      </c>
      <c r="L55" s="16">
        <f t="shared" si="3"/>
        <v>1.2877134902009637</v>
      </c>
      <c r="M55" s="16">
        <f t="shared" si="3"/>
        <v>1.2682667336188085</v>
      </c>
      <c r="N55" s="16">
        <f t="shared" si="3"/>
        <v>1.2499343629620321</v>
      </c>
      <c r="O55" s="16">
        <f t="shared" si="3"/>
        <v>1.2334878581862159</v>
      </c>
      <c r="P55" s="16">
        <f>Q55*P52</f>
        <v>1.2180591094663091</v>
      </c>
      <c r="Q55" s="16">
        <f>'Exhibit 2.4.2'!B54*'Exhibit 2.4.1'!Q52</f>
        <v>1.2028233470700878</v>
      </c>
    </row>
    <row r="56" spans="1:17">
      <c r="A56" s="339"/>
      <c r="B56" s="16"/>
      <c r="C56" s="16"/>
      <c r="D56" s="16"/>
      <c r="E56" s="16"/>
      <c r="F56" s="16"/>
      <c r="G56" s="16"/>
      <c r="H56" s="16"/>
      <c r="I56" s="16"/>
      <c r="J56" s="16"/>
      <c r="K56" s="16"/>
      <c r="L56" s="16"/>
      <c r="M56" s="16"/>
      <c r="N56" s="16"/>
      <c r="O56" s="16"/>
      <c r="P56" s="16"/>
      <c r="Q56" s="16"/>
    </row>
    <row r="57" spans="1:17">
      <c r="A57" s="22" t="s">
        <v>318</v>
      </c>
      <c r="B57" s="16"/>
      <c r="C57" s="16"/>
      <c r="D57" s="16"/>
      <c r="E57" s="16"/>
      <c r="F57" s="16"/>
      <c r="G57" s="16"/>
      <c r="H57" s="16"/>
      <c r="I57" s="16"/>
      <c r="J57" s="16"/>
      <c r="K57" s="16"/>
      <c r="L57" s="16"/>
      <c r="M57" s="16"/>
      <c r="N57" s="16"/>
      <c r="O57" s="16"/>
      <c r="P57" s="16"/>
      <c r="Q57" s="16"/>
    </row>
    <row r="58" spans="1:17">
      <c r="A58" s="339" t="s">
        <v>319</v>
      </c>
      <c r="B58" s="374">
        <f ca="1">B52*C55*C69</f>
        <v>7.0738310079083826</v>
      </c>
      <c r="C58" s="374">
        <f>C52*D55*C70</f>
        <v>2.8685446098574134</v>
      </c>
      <c r="D58" s="374">
        <f>D52*E55*C71</f>
        <v>2.020101837927756</v>
      </c>
      <c r="E58" s="374">
        <f>E52*F55*C72</f>
        <v>1.6947163069863727</v>
      </c>
      <c r="F58" s="374">
        <f>F52*G55*C73</f>
        <v>1.5392518682891669</v>
      </c>
      <c r="G58" s="374">
        <f>G52*H55*C74</f>
        <v>1.460507378330778</v>
      </c>
      <c r="H58" s="297" t="s">
        <v>32</v>
      </c>
      <c r="I58" s="297" t="s">
        <v>32</v>
      </c>
      <c r="J58" s="297" t="s">
        <v>32</v>
      </c>
      <c r="K58" s="297" t="s">
        <v>32</v>
      </c>
      <c r="L58" s="297" t="s">
        <v>32</v>
      </c>
      <c r="M58" s="297" t="s">
        <v>32</v>
      </c>
      <c r="N58" s="297" t="s">
        <v>32</v>
      </c>
      <c r="O58" s="297" t="s">
        <v>32</v>
      </c>
      <c r="P58" s="297" t="s">
        <v>32</v>
      </c>
      <c r="Q58" s="297" t="s">
        <v>32</v>
      </c>
    </row>
    <row r="59" spans="1:17">
      <c r="A59" s="14"/>
      <c r="B59" s="14"/>
      <c r="C59" s="13"/>
      <c r="D59" s="13"/>
      <c r="E59" s="13"/>
      <c r="F59" s="13"/>
      <c r="G59" s="13"/>
      <c r="H59" s="13"/>
      <c r="I59" s="13"/>
      <c r="J59" s="13"/>
      <c r="K59" s="13"/>
      <c r="L59" s="13"/>
      <c r="M59" s="13"/>
      <c r="N59" s="13"/>
      <c r="O59" s="13"/>
      <c r="P59" s="13"/>
    </row>
    <row r="60" spans="1:17" ht="12.75" customHeight="1">
      <c r="A60" s="9" t="s">
        <v>37</v>
      </c>
      <c r="B60" s="309" t="s">
        <v>288</v>
      </c>
      <c r="C60" s="211"/>
      <c r="D60" s="211"/>
      <c r="E60" s="211"/>
      <c r="F60" s="211"/>
      <c r="G60" s="211"/>
      <c r="H60" s="211"/>
      <c r="I60" s="211"/>
      <c r="J60" s="211"/>
      <c r="K60" s="211"/>
      <c r="L60" s="211"/>
      <c r="M60" s="211"/>
      <c r="N60" s="211"/>
      <c r="O60" s="211"/>
      <c r="P60" s="211"/>
    </row>
    <row r="61" spans="1:17" ht="12.75" customHeight="1">
      <c r="A61" s="9" t="s">
        <v>25</v>
      </c>
      <c r="B61" s="161" t="s">
        <v>513</v>
      </c>
      <c r="C61" s="302"/>
      <c r="D61" s="302"/>
      <c r="E61" s="302"/>
      <c r="F61" s="302"/>
      <c r="G61" s="302"/>
      <c r="H61" s="302"/>
      <c r="I61" s="302"/>
      <c r="J61" s="302"/>
      <c r="K61" s="302"/>
      <c r="L61" s="302"/>
      <c r="M61" s="302"/>
      <c r="N61" s="302"/>
      <c r="O61" s="302"/>
      <c r="P61" s="302"/>
    </row>
    <row r="62" spans="1:17" ht="12.75" customHeight="1">
      <c r="A62" s="9"/>
      <c r="B62" s="161" t="s">
        <v>514</v>
      </c>
      <c r="C62" s="302"/>
      <c r="D62" s="302"/>
      <c r="E62" s="302"/>
      <c r="F62" s="302"/>
      <c r="G62" s="302"/>
      <c r="H62" s="302"/>
      <c r="I62" s="302"/>
      <c r="J62" s="302"/>
      <c r="K62" s="302"/>
      <c r="L62" s="302"/>
      <c r="M62" s="302"/>
      <c r="N62" s="302"/>
      <c r="O62" s="302"/>
      <c r="P62" s="302"/>
    </row>
    <row r="63" spans="1:17" ht="12.75" customHeight="1">
      <c r="A63" s="9" t="s">
        <v>26</v>
      </c>
      <c r="B63" s="161" t="s">
        <v>480</v>
      </c>
      <c r="C63" s="308"/>
      <c r="D63" s="308"/>
      <c r="E63" s="308"/>
      <c r="F63" s="308"/>
      <c r="G63" s="308"/>
      <c r="H63" s="308"/>
      <c r="I63" s="308"/>
      <c r="J63" s="308"/>
      <c r="K63" s="308"/>
      <c r="L63" s="308"/>
      <c r="M63" s="308"/>
      <c r="N63" s="308"/>
      <c r="O63" s="308"/>
      <c r="P63" s="308"/>
    </row>
    <row r="64" spans="1:17" ht="12.75" customHeight="1">
      <c r="A64" s="9" t="s">
        <v>30</v>
      </c>
      <c r="B64" s="36" t="s">
        <v>515</v>
      </c>
      <c r="C64" s="36"/>
      <c r="D64" s="36"/>
      <c r="E64" s="36"/>
      <c r="F64" s="36"/>
      <c r="G64" s="36"/>
      <c r="H64" s="36"/>
      <c r="I64" s="36"/>
      <c r="J64" s="36"/>
      <c r="K64" s="36"/>
      <c r="L64" s="36"/>
      <c r="M64" s="36"/>
      <c r="N64" s="36"/>
      <c r="O64" s="36"/>
      <c r="P64" s="36"/>
    </row>
    <row r="66" spans="1:3">
      <c r="A66" s="347" t="s">
        <v>438</v>
      </c>
    </row>
    <row r="67" spans="1:3">
      <c r="A67" s="433"/>
      <c r="B67" s="129" t="s">
        <v>437</v>
      </c>
      <c r="C67" s="434"/>
    </row>
    <row r="68" spans="1:3">
      <c r="A68" s="439" t="s">
        <v>181</v>
      </c>
      <c r="B68" s="109" t="s">
        <v>242</v>
      </c>
      <c r="C68" s="440" t="s">
        <v>241</v>
      </c>
    </row>
    <row r="69" spans="1:3">
      <c r="A69" s="441">
        <v>2021</v>
      </c>
      <c r="B69" s="472">
        <v>-1.9688394402758047E-2</v>
      </c>
      <c r="C69" s="442">
        <f>1+B69</f>
        <v>0.98031160559724195</v>
      </c>
    </row>
    <row r="70" spans="1:3">
      <c r="A70" s="435">
        <f>A69-1</f>
        <v>2020</v>
      </c>
      <c r="B70" s="473">
        <v>-1.9688394402758047E-2</v>
      </c>
      <c r="C70" s="436">
        <f t="shared" ref="C70:C74" si="4">1+B70</f>
        <v>0.98031160559724195</v>
      </c>
    </row>
    <row r="71" spans="1:3">
      <c r="A71" s="435">
        <f t="shared" ref="A71:A74" si="5">A70-1</f>
        <v>2019</v>
      </c>
      <c r="B71" s="473">
        <v>-1.9688394402758047E-2</v>
      </c>
      <c r="C71" s="436">
        <f t="shared" si="4"/>
        <v>0.98031160559724195</v>
      </c>
    </row>
    <row r="72" spans="1:3">
      <c r="A72" s="435">
        <f t="shared" si="5"/>
        <v>2018</v>
      </c>
      <c r="B72" s="473">
        <v>-1.9688394402758047E-2</v>
      </c>
      <c r="C72" s="436">
        <f t="shared" si="4"/>
        <v>0.98031160559724195</v>
      </c>
    </row>
    <row r="73" spans="1:3">
      <c r="A73" s="435">
        <f t="shared" si="5"/>
        <v>2017</v>
      </c>
      <c r="B73" s="473">
        <v>-1.9688394402758047E-2</v>
      </c>
      <c r="C73" s="436">
        <f t="shared" si="4"/>
        <v>0.98031160559724195</v>
      </c>
    </row>
    <row r="74" spans="1:3">
      <c r="A74" s="437">
        <f t="shared" si="5"/>
        <v>2016</v>
      </c>
      <c r="B74" s="474">
        <v>-1.1238666410671838E-2</v>
      </c>
      <c r="C74" s="438">
        <f t="shared" si="4"/>
        <v>0.98876133358932816</v>
      </c>
    </row>
  </sheetData>
  <printOptions horizontalCentered="1"/>
  <pageMargins left="0.7" right="0.7" top="0.75" bottom="0.75" header="0.3" footer="0.3"/>
  <pageSetup scale="67" orientation="landscape" blackAndWhite="1"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V58"/>
  <sheetViews>
    <sheetView zoomScaleNormal="100" workbookViewId="0"/>
  </sheetViews>
  <sheetFormatPr defaultColWidth="9.140625" defaultRowHeight="12.75"/>
  <cols>
    <col min="1" max="1" width="12.7109375" style="169" customWidth="1"/>
    <col min="2" max="17" width="7.7109375" style="169" customWidth="1"/>
    <col min="18" max="18" width="7.7109375" style="233" customWidth="1"/>
    <col min="19" max="19" width="7.7109375" style="466" customWidth="1"/>
    <col min="20" max="20" width="7.7109375" style="502" customWidth="1"/>
    <col min="21" max="21" width="7.7109375" style="284" customWidth="1"/>
    <col min="22" max="22" width="13.140625" style="169" customWidth="1"/>
    <col min="23" max="16384" width="9.140625" style="169"/>
  </cols>
  <sheetData>
    <row r="1" spans="1:22" ht="15" customHeight="1">
      <c r="A1" s="243" t="s">
        <v>40</v>
      </c>
      <c r="B1" s="243"/>
      <c r="C1" s="243"/>
      <c r="D1" s="243"/>
      <c r="E1" s="243"/>
      <c r="F1" s="243"/>
      <c r="G1" s="243"/>
      <c r="H1" s="243"/>
      <c r="I1" s="243"/>
      <c r="J1" s="243"/>
      <c r="K1" s="243"/>
      <c r="L1" s="243"/>
      <c r="M1" s="243"/>
      <c r="N1" s="243"/>
      <c r="O1" s="243"/>
      <c r="P1" s="243"/>
      <c r="Q1" s="243"/>
      <c r="R1" s="243"/>
      <c r="S1" s="243"/>
      <c r="T1" s="243"/>
      <c r="U1" s="243"/>
      <c r="V1" s="244"/>
    </row>
    <row r="2" spans="1:22">
      <c r="A2" s="17"/>
      <c r="B2" s="17"/>
      <c r="C2" s="17"/>
      <c r="D2" s="17"/>
      <c r="E2" s="17"/>
      <c r="F2" s="17"/>
      <c r="G2" s="17"/>
      <c r="H2" s="17"/>
      <c r="I2" s="17"/>
      <c r="J2" s="17"/>
      <c r="K2" s="17"/>
      <c r="L2" s="17"/>
      <c r="M2" s="17"/>
      <c r="N2" s="17"/>
      <c r="O2" s="17"/>
      <c r="P2" s="17"/>
      <c r="Q2" s="17"/>
      <c r="R2" s="17"/>
      <c r="S2" s="469"/>
      <c r="T2" s="504"/>
      <c r="U2" s="17"/>
      <c r="V2" s="17"/>
    </row>
    <row r="3" spans="1:22" ht="15">
      <c r="A3" s="1" t="s">
        <v>58</v>
      </c>
      <c r="B3" s="246" t="s">
        <v>18</v>
      </c>
      <c r="C3" s="246"/>
      <c r="D3" s="246"/>
      <c r="E3" s="246"/>
      <c r="F3" s="246"/>
      <c r="G3" s="246"/>
      <c r="H3" s="246"/>
      <c r="I3" s="246"/>
      <c r="J3" s="246"/>
      <c r="K3" s="246"/>
      <c r="L3" s="246"/>
      <c r="M3" s="246"/>
      <c r="N3" s="246"/>
      <c r="O3" s="246"/>
      <c r="P3" s="246"/>
      <c r="Q3" s="246"/>
      <c r="R3" s="246"/>
      <c r="S3" s="246"/>
      <c r="T3" s="246"/>
      <c r="U3" s="246"/>
      <c r="V3" s="247"/>
    </row>
    <row r="4" spans="1:22">
      <c r="A4" s="19" t="s">
        <v>19</v>
      </c>
      <c r="B4" s="11" t="s">
        <v>461</v>
      </c>
      <c r="C4" s="11" t="s">
        <v>462</v>
      </c>
      <c r="D4" s="11" t="s">
        <v>463</v>
      </c>
      <c r="E4" s="11" t="s">
        <v>464</v>
      </c>
      <c r="F4" s="11" t="s">
        <v>465</v>
      </c>
      <c r="G4" s="11" t="s">
        <v>466</v>
      </c>
      <c r="H4" s="11" t="s">
        <v>467</v>
      </c>
      <c r="I4" s="11" t="s">
        <v>468</v>
      </c>
      <c r="J4" s="11" t="s">
        <v>469</v>
      </c>
      <c r="K4" s="11" t="s">
        <v>470</v>
      </c>
      <c r="L4" s="11" t="s">
        <v>471</v>
      </c>
      <c r="M4" s="11" t="s">
        <v>472</v>
      </c>
      <c r="N4" s="11" t="s">
        <v>473</v>
      </c>
      <c r="O4" s="11" t="s">
        <v>474</v>
      </c>
      <c r="P4" s="11" t="s">
        <v>475</v>
      </c>
      <c r="Q4" s="11" t="s">
        <v>476</v>
      </c>
      <c r="R4" s="11" t="s">
        <v>477</v>
      </c>
      <c r="S4" s="11" t="s">
        <v>478</v>
      </c>
      <c r="T4" s="11" t="s">
        <v>479</v>
      </c>
      <c r="U4" s="11" t="s">
        <v>507</v>
      </c>
      <c r="V4" s="11" t="s">
        <v>516</v>
      </c>
    </row>
    <row r="5" spans="1:22">
      <c r="A5" s="1">
        <f t="shared" ref="A5:A23" si="0">+A6-1</f>
        <v>1983</v>
      </c>
      <c r="B5" s="362" t="s">
        <v>34</v>
      </c>
      <c r="C5" s="362" t="s">
        <v>34</v>
      </c>
      <c r="D5" s="362" t="s">
        <v>34</v>
      </c>
      <c r="E5" s="362" t="s">
        <v>34</v>
      </c>
      <c r="F5" s="362" t="s">
        <v>34</v>
      </c>
      <c r="G5" s="362" t="s">
        <v>34</v>
      </c>
      <c r="H5" s="362" t="s">
        <v>34</v>
      </c>
      <c r="I5" s="362" t="s">
        <v>34</v>
      </c>
      <c r="J5" s="362">
        <v>1.0029999999999999</v>
      </c>
      <c r="K5" s="362">
        <v>1.0049999999999999</v>
      </c>
      <c r="L5" s="362">
        <v>1.004</v>
      </c>
      <c r="M5" s="362">
        <v>1.004</v>
      </c>
      <c r="N5" s="362">
        <v>1.0029999999999999</v>
      </c>
      <c r="O5" s="362">
        <v>1.004</v>
      </c>
      <c r="P5" s="362">
        <v>1.0029999999999999</v>
      </c>
      <c r="Q5" s="362">
        <v>1.002</v>
      </c>
      <c r="R5" s="362">
        <v>1.004</v>
      </c>
      <c r="S5" s="362">
        <v>1.0029999999999999</v>
      </c>
      <c r="T5" s="362">
        <v>1.0029999999999999</v>
      </c>
      <c r="U5" s="362">
        <v>1.002</v>
      </c>
      <c r="V5" s="16"/>
    </row>
    <row r="6" spans="1:22" s="502" customFormat="1">
      <c r="A6" s="1">
        <f t="shared" si="0"/>
        <v>1984</v>
      </c>
      <c r="B6" s="362" t="s">
        <v>34</v>
      </c>
      <c r="C6" s="362" t="s">
        <v>34</v>
      </c>
      <c r="D6" s="362" t="s">
        <v>34</v>
      </c>
      <c r="E6" s="362" t="s">
        <v>34</v>
      </c>
      <c r="F6" s="362" t="s">
        <v>34</v>
      </c>
      <c r="G6" s="362" t="s">
        <v>34</v>
      </c>
      <c r="H6" s="362" t="s">
        <v>34</v>
      </c>
      <c r="I6" s="362">
        <v>1.0029999999999999</v>
      </c>
      <c r="J6" s="362">
        <v>1.004</v>
      </c>
      <c r="K6" s="362">
        <v>1.0029999999999999</v>
      </c>
      <c r="L6" s="362">
        <v>1.004</v>
      </c>
      <c r="M6" s="362">
        <v>1.004</v>
      </c>
      <c r="N6" s="362">
        <v>1.0029999999999999</v>
      </c>
      <c r="O6" s="362">
        <v>1.0029999999999999</v>
      </c>
      <c r="P6" s="362">
        <v>1.002</v>
      </c>
      <c r="Q6" s="362">
        <v>1.002</v>
      </c>
      <c r="R6" s="362">
        <v>1.002</v>
      </c>
      <c r="S6" s="362">
        <v>1.002</v>
      </c>
      <c r="T6" s="362">
        <v>1.002</v>
      </c>
      <c r="U6" s="362">
        <v>1.0009999999999999</v>
      </c>
      <c r="V6" s="16"/>
    </row>
    <row r="7" spans="1:22" s="466" customFormat="1">
      <c r="A7" s="1">
        <f t="shared" si="0"/>
        <v>1985</v>
      </c>
      <c r="B7" s="362" t="s">
        <v>34</v>
      </c>
      <c r="C7" s="362" t="s">
        <v>34</v>
      </c>
      <c r="D7" s="362" t="s">
        <v>34</v>
      </c>
      <c r="E7" s="362" t="s">
        <v>34</v>
      </c>
      <c r="F7" s="362" t="s">
        <v>34</v>
      </c>
      <c r="G7" s="362" t="s">
        <v>34</v>
      </c>
      <c r="H7" s="362">
        <v>1.004</v>
      </c>
      <c r="I7" s="362">
        <v>1.004</v>
      </c>
      <c r="J7" s="362">
        <v>1.0029999999999999</v>
      </c>
      <c r="K7" s="362">
        <v>1.004</v>
      </c>
      <c r="L7" s="362">
        <v>1.004</v>
      </c>
      <c r="M7" s="362">
        <v>1.004</v>
      </c>
      <c r="N7" s="362">
        <v>1.0029999999999999</v>
      </c>
      <c r="O7" s="362">
        <v>1.002</v>
      </c>
      <c r="P7" s="362">
        <v>1.0029999999999999</v>
      </c>
      <c r="Q7" s="362">
        <v>1.002</v>
      </c>
      <c r="R7" s="362">
        <v>1.002</v>
      </c>
      <c r="S7" s="362">
        <v>1.002</v>
      </c>
      <c r="T7" s="362">
        <v>1.002</v>
      </c>
      <c r="U7" s="362">
        <v>1.0009999999999999</v>
      </c>
      <c r="V7" s="16"/>
    </row>
    <row r="8" spans="1:22" s="289" customFormat="1">
      <c r="A8" s="1">
        <f t="shared" si="0"/>
        <v>1986</v>
      </c>
      <c r="B8" s="362" t="s">
        <v>34</v>
      </c>
      <c r="C8" s="362" t="s">
        <v>34</v>
      </c>
      <c r="D8" s="362" t="s">
        <v>34</v>
      </c>
      <c r="E8" s="362" t="s">
        <v>34</v>
      </c>
      <c r="F8" s="362" t="s">
        <v>34</v>
      </c>
      <c r="G8" s="362">
        <v>1.004</v>
      </c>
      <c r="H8" s="362">
        <v>1.0049999999999999</v>
      </c>
      <c r="I8" s="362">
        <v>1.0049999999999999</v>
      </c>
      <c r="J8" s="362">
        <v>1.0049999999999999</v>
      </c>
      <c r="K8" s="362">
        <v>1.0049999999999999</v>
      </c>
      <c r="L8" s="362">
        <v>1.0049999999999999</v>
      </c>
      <c r="M8" s="362">
        <v>1.0049999999999999</v>
      </c>
      <c r="N8" s="362">
        <v>1.004</v>
      </c>
      <c r="O8" s="362">
        <v>1.006</v>
      </c>
      <c r="P8" s="362">
        <v>1.004</v>
      </c>
      <c r="Q8" s="362">
        <v>1.004</v>
      </c>
      <c r="R8" s="362">
        <v>1.0029999999999999</v>
      </c>
      <c r="S8" s="362">
        <v>1.0029999999999999</v>
      </c>
      <c r="T8" s="362">
        <v>1.0009999999999999</v>
      </c>
      <c r="U8" s="362" t="s">
        <v>34</v>
      </c>
      <c r="V8" s="16"/>
    </row>
    <row r="9" spans="1:22">
      <c r="A9" s="1">
        <f t="shared" si="0"/>
        <v>1987</v>
      </c>
      <c r="B9" s="362" t="s">
        <v>34</v>
      </c>
      <c r="C9" s="362" t="s">
        <v>34</v>
      </c>
      <c r="D9" s="362" t="s">
        <v>34</v>
      </c>
      <c r="E9" s="362" t="s">
        <v>34</v>
      </c>
      <c r="F9" s="362">
        <v>1.006</v>
      </c>
      <c r="G9" s="362">
        <v>1.0049999999999999</v>
      </c>
      <c r="H9" s="362">
        <v>1.0049999999999999</v>
      </c>
      <c r="I9" s="362">
        <v>1.0049999999999999</v>
      </c>
      <c r="J9" s="362">
        <v>1.0049999999999999</v>
      </c>
      <c r="K9" s="362">
        <v>1.0049999999999999</v>
      </c>
      <c r="L9" s="362">
        <v>1.0049999999999999</v>
      </c>
      <c r="M9" s="362">
        <v>1.0029999999999999</v>
      </c>
      <c r="N9" s="362">
        <v>1.0029999999999999</v>
      </c>
      <c r="O9" s="362">
        <v>1.0029999999999999</v>
      </c>
      <c r="P9" s="362">
        <v>1.0029999999999999</v>
      </c>
      <c r="Q9" s="362">
        <v>1.002</v>
      </c>
      <c r="R9" s="362">
        <v>1.002</v>
      </c>
      <c r="S9" s="362">
        <v>1.0029999999999999</v>
      </c>
      <c r="T9" s="362" t="s">
        <v>34</v>
      </c>
      <c r="U9" s="362" t="s">
        <v>34</v>
      </c>
      <c r="V9" s="16"/>
    </row>
    <row r="10" spans="1:22">
      <c r="A10" s="1">
        <f t="shared" si="0"/>
        <v>1988</v>
      </c>
      <c r="B10" s="362" t="s">
        <v>34</v>
      </c>
      <c r="C10" s="362" t="s">
        <v>34</v>
      </c>
      <c r="D10" s="362" t="s">
        <v>34</v>
      </c>
      <c r="E10" s="362">
        <v>1.006</v>
      </c>
      <c r="F10" s="362">
        <v>1.0049999999999999</v>
      </c>
      <c r="G10" s="362">
        <v>1.0049999999999999</v>
      </c>
      <c r="H10" s="362">
        <v>1.006</v>
      </c>
      <c r="I10" s="362">
        <v>1.0049999999999999</v>
      </c>
      <c r="J10" s="362">
        <v>1.0049999999999999</v>
      </c>
      <c r="K10" s="362">
        <v>1.004</v>
      </c>
      <c r="L10" s="362">
        <v>1.0029999999999999</v>
      </c>
      <c r="M10" s="362">
        <v>1.0029999999999999</v>
      </c>
      <c r="N10" s="362">
        <v>1.0029999999999999</v>
      </c>
      <c r="O10" s="362">
        <v>1.004</v>
      </c>
      <c r="P10" s="362">
        <v>1.0029999999999999</v>
      </c>
      <c r="Q10" s="362">
        <v>1.002</v>
      </c>
      <c r="R10" s="362">
        <v>1.0029999999999999</v>
      </c>
      <c r="S10" s="362" t="s">
        <v>34</v>
      </c>
      <c r="T10" s="362" t="s">
        <v>34</v>
      </c>
      <c r="U10" s="362" t="s">
        <v>34</v>
      </c>
      <c r="V10" s="16"/>
    </row>
    <row r="11" spans="1:22">
      <c r="A11" s="1">
        <f t="shared" si="0"/>
        <v>1989</v>
      </c>
      <c r="B11" s="362" t="s">
        <v>34</v>
      </c>
      <c r="C11" s="362" t="s">
        <v>34</v>
      </c>
      <c r="D11" s="362">
        <v>1.0069999999999999</v>
      </c>
      <c r="E11" s="362">
        <v>1.0049999999999999</v>
      </c>
      <c r="F11" s="362">
        <v>1.006</v>
      </c>
      <c r="G11" s="362">
        <v>1.008</v>
      </c>
      <c r="H11" s="362">
        <v>1.006</v>
      </c>
      <c r="I11" s="362">
        <v>1.0069999999999999</v>
      </c>
      <c r="J11" s="362">
        <v>1.006</v>
      </c>
      <c r="K11" s="362">
        <v>1.0029999999999999</v>
      </c>
      <c r="L11" s="362">
        <v>1.0029999999999999</v>
      </c>
      <c r="M11" s="362">
        <v>1.0029999999999999</v>
      </c>
      <c r="N11" s="362">
        <v>1.0029999999999999</v>
      </c>
      <c r="O11" s="362">
        <v>1.0029999999999999</v>
      </c>
      <c r="P11" s="362">
        <v>1.004</v>
      </c>
      <c r="Q11" s="362">
        <v>1.002</v>
      </c>
      <c r="R11" s="362" t="s">
        <v>34</v>
      </c>
      <c r="S11" s="362" t="s">
        <v>34</v>
      </c>
      <c r="T11" s="362" t="s">
        <v>34</v>
      </c>
      <c r="U11" s="362" t="s">
        <v>34</v>
      </c>
      <c r="V11" s="16"/>
    </row>
    <row r="12" spans="1:22">
      <c r="A12" s="1">
        <f t="shared" si="0"/>
        <v>1990</v>
      </c>
      <c r="B12" s="362" t="s">
        <v>34</v>
      </c>
      <c r="C12" s="362">
        <v>1.0049999999999999</v>
      </c>
      <c r="D12" s="362">
        <v>1.0049999999999999</v>
      </c>
      <c r="E12" s="362">
        <v>1.0049999999999999</v>
      </c>
      <c r="F12" s="362">
        <v>1.0049999999999999</v>
      </c>
      <c r="G12" s="362">
        <v>1.006</v>
      </c>
      <c r="H12" s="362">
        <v>1.004</v>
      </c>
      <c r="I12" s="362">
        <v>1.004</v>
      </c>
      <c r="J12" s="362">
        <v>1.0029999999999999</v>
      </c>
      <c r="K12" s="362">
        <v>1.002</v>
      </c>
      <c r="L12" s="362">
        <v>1.0029999999999999</v>
      </c>
      <c r="M12" s="362">
        <v>1.002</v>
      </c>
      <c r="N12" s="362">
        <v>1.0029999999999999</v>
      </c>
      <c r="O12" s="362">
        <v>1.002</v>
      </c>
      <c r="P12" s="362">
        <v>1.0029999999999999</v>
      </c>
      <c r="Q12" s="362" t="s">
        <v>34</v>
      </c>
      <c r="R12" s="362" t="s">
        <v>34</v>
      </c>
      <c r="S12" s="362" t="s">
        <v>34</v>
      </c>
      <c r="T12" s="362" t="s">
        <v>34</v>
      </c>
      <c r="U12" s="362" t="s">
        <v>34</v>
      </c>
      <c r="V12" s="16"/>
    </row>
    <row r="13" spans="1:22">
      <c r="A13" s="1">
        <f t="shared" si="0"/>
        <v>1991</v>
      </c>
      <c r="B13" s="362">
        <v>1.0069999999999999</v>
      </c>
      <c r="C13" s="362">
        <v>1.006</v>
      </c>
      <c r="D13" s="362">
        <v>1.006</v>
      </c>
      <c r="E13" s="362">
        <v>1.0049999999999999</v>
      </c>
      <c r="F13" s="362">
        <v>1.006</v>
      </c>
      <c r="G13" s="362">
        <v>1.0049999999999999</v>
      </c>
      <c r="H13" s="362">
        <v>1.006</v>
      </c>
      <c r="I13" s="362">
        <v>1.0029999999999999</v>
      </c>
      <c r="J13" s="362">
        <v>1.0029999999999999</v>
      </c>
      <c r="K13" s="362">
        <v>1.0029999999999999</v>
      </c>
      <c r="L13" s="362">
        <v>1.0029999999999999</v>
      </c>
      <c r="M13" s="362">
        <v>1.004</v>
      </c>
      <c r="N13" s="362">
        <v>1.0029999999999999</v>
      </c>
      <c r="O13" s="362">
        <v>1.002</v>
      </c>
      <c r="P13" s="362" t="s">
        <v>34</v>
      </c>
      <c r="Q13" s="362" t="s">
        <v>34</v>
      </c>
      <c r="R13" s="362" t="s">
        <v>34</v>
      </c>
      <c r="S13" s="362" t="s">
        <v>34</v>
      </c>
      <c r="T13" s="362" t="s">
        <v>34</v>
      </c>
      <c r="U13" s="362" t="s">
        <v>34</v>
      </c>
      <c r="V13" s="16"/>
    </row>
    <row r="14" spans="1:22">
      <c r="A14" s="1">
        <f t="shared" si="0"/>
        <v>1992</v>
      </c>
      <c r="B14" s="362">
        <v>1.008</v>
      </c>
      <c r="C14" s="362">
        <v>1.0069999999999999</v>
      </c>
      <c r="D14" s="362">
        <v>1.002</v>
      </c>
      <c r="E14" s="362">
        <v>1.006</v>
      </c>
      <c r="F14" s="362">
        <v>1.008</v>
      </c>
      <c r="G14" s="362">
        <v>1.006</v>
      </c>
      <c r="H14" s="362">
        <v>1.0049999999999999</v>
      </c>
      <c r="I14" s="362">
        <v>1.0049999999999999</v>
      </c>
      <c r="J14" s="362">
        <v>1.0049999999999999</v>
      </c>
      <c r="K14" s="362">
        <v>1.004</v>
      </c>
      <c r="L14" s="362">
        <v>1.006</v>
      </c>
      <c r="M14" s="362">
        <v>1.0029999999999999</v>
      </c>
      <c r="N14" s="362">
        <v>1.0029999999999999</v>
      </c>
      <c r="O14" s="362" t="s">
        <v>34</v>
      </c>
      <c r="P14" s="362" t="s">
        <v>34</v>
      </c>
      <c r="Q14" s="362" t="s">
        <v>34</v>
      </c>
      <c r="R14" s="362" t="s">
        <v>34</v>
      </c>
      <c r="S14" s="362" t="s">
        <v>34</v>
      </c>
      <c r="T14" s="362" t="s">
        <v>34</v>
      </c>
      <c r="U14" s="362" t="s">
        <v>34</v>
      </c>
      <c r="V14" s="17"/>
    </row>
    <row r="15" spans="1:22">
      <c r="A15" s="1">
        <f t="shared" si="0"/>
        <v>1993</v>
      </c>
      <c r="B15" s="362">
        <v>1.0109999999999999</v>
      </c>
      <c r="C15" s="362">
        <v>1.0109999999999999</v>
      </c>
      <c r="D15" s="362">
        <v>1.01</v>
      </c>
      <c r="E15" s="362">
        <v>1.0129999999999999</v>
      </c>
      <c r="F15" s="362">
        <v>1.0109999999999999</v>
      </c>
      <c r="G15" s="362">
        <v>1.0069999999999999</v>
      </c>
      <c r="H15" s="362">
        <v>1.006</v>
      </c>
      <c r="I15" s="362">
        <v>1.006</v>
      </c>
      <c r="J15" s="362">
        <v>1.0049999999999999</v>
      </c>
      <c r="K15" s="362">
        <v>1.008</v>
      </c>
      <c r="L15" s="362">
        <v>1.0029999999999999</v>
      </c>
      <c r="M15" s="362">
        <v>1.002</v>
      </c>
      <c r="N15" s="362" t="s">
        <v>34</v>
      </c>
      <c r="O15" s="362" t="s">
        <v>34</v>
      </c>
      <c r="P15" s="362" t="s">
        <v>34</v>
      </c>
      <c r="Q15" s="362" t="s">
        <v>34</v>
      </c>
      <c r="R15" s="362" t="s">
        <v>34</v>
      </c>
      <c r="S15" s="362" t="s">
        <v>34</v>
      </c>
      <c r="T15" s="362" t="s">
        <v>34</v>
      </c>
      <c r="U15" s="362" t="s">
        <v>34</v>
      </c>
      <c r="V15" s="17"/>
    </row>
    <row r="16" spans="1:22">
      <c r="A16" s="1">
        <f t="shared" si="0"/>
        <v>1994</v>
      </c>
      <c r="B16" s="362">
        <v>1.0129999999999999</v>
      </c>
      <c r="C16" s="362">
        <v>1.0089999999999999</v>
      </c>
      <c r="D16" s="362">
        <v>1.01</v>
      </c>
      <c r="E16" s="362">
        <v>1.01</v>
      </c>
      <c r="F16" s="362">
        <v>1.0089999999999999</v>
      </c>
      <c r="G16" s="362">
        <v>1.008</v>
      </c>
      <c r="H16" s="362">
        <v>1.0069999999999999</v>
      </c>
      <c r="I16" s="362">
        <v>1.004</v>
      </c>
      <c r="J16" s="362">
        <v>1.004</v>
      </c>
      <c r="K16" s="362">
        <v>1.0049999999999999</v>
      </c>
      <c r="L16" s="362">
        <v>1.004</v>
      </c>
      <c r="M16" s="362" t="s">
        <v>34</v>
      </c>
      <c r="N16" s="362" t="s">
        <v>34</v>
      </c>
      <c r="O16" s="362" t="s">
        <v>34</v>
      </c>
      <c r="P16" s="362" t="s">
        <v>34</v>
      </c>
      <c r="Q16" s="362" t="s">
        <v>34</v>
      </c>
      <c r="R16" s="362" t="s">
        <v>34</v>
      </c>
      <c r="S16" s="362" t="s">
        <v>34</v>
      </c>
      <c r="T16" s="362" t="s">
        <v>34</v>
      </c>
      <c r="U16" s="362" t="s">
        <v>34</v>
      </c>
      <c r="V16" s="17"/>
    </row>
    <row r="17" spans="1:22">
      <c r="A17" s="1">
        <f t="shared" si="0"/>
        <v>1995</v>
      </c>
      <c r="B17" s="362">
        <v>1.0109999999999999</v>
      </c>
      <c r="C17" s="362">
        <v>1.016</v>
      </c>
      <c r="D17" s="362">
        <v>1.0129999999999999</v>
      </c>
      <c r="E17" s="362">
        <v>1.012</v>
      </c>
      <c r="F17" s="362">
        <v>1.0089999999999999</v>
      </c>
      <c r="G17" s="362">
        <v>1.012</v>
      </c>
      <c r="H17" s="362">
        <v>1.0069999999999999</v>
      </c>
      <c r="I17" s="362">
        <v>1.008</v>
      </c>
      <c r="J17" s="362">
        <v>1.0069999999999999</v>
      </c>
      <c r="K17" s="362">
        <v>1.0049999999999999</v>
      </c>
      <c r="L17" s="362" t="s">
        <v>34</v>
      </c>
      <c r="M17" s="362" t="s">
        <v>34</v>
      </c>
      <c r="N17" s="362" t="s">
        <v>34</v>
      </c>
      <c r="O17" s="362" t="s">
        <v>34</v>
      </c>
      <c r="P17" s="362" t="s">
        <v>34</v>
      </c>
      <c r="Q17" s="362" t="s">
        <v>34</v>
      </c>
      <c r="R17" s="362" t="s">
        <v>34</v>
      </c>
      <c r="S17" s="362" t="s">
        <v>34</v>
      </c>
      <c r="T17" s="362" t="s">
        <v>34</v>
      </c>
      <c r="U17" s="362" t="s">
        <v>34</v>
      </c>
      <c r="V17" s="17"/>
    </row>
    <row r="18" spans="1:22">
      <c r="A18" s="1">
        <f t="shared" si="0"/>
        <v>1996</v>
      </c>
      <c r="B18" s="362">
        <v>1.014</v>
      </c>
      <c r="C18" s="362">
        <v>1.0129999999999999</v>
      </c>
      <c r="D18" s="362">
        <v>1.0109999999999999</v>
      </c>
      <c r="E18" s="362">
        <v>1.0089999999999999</v>
      </c>
      <c r="F18" s="362">
        <v>1.0069999999999999</v>
      </c>
      <c r="G18" s="362">
        <v>1.0089999999999999</v>
      </c>
      <c r="H18" s="362">
        <v>1.008</v>
      </c>
      <c r="I18" s="362">
        <v>1.006</v>
      </c>
      <c r="J18" s="362">
        <v>1.004</v>
      </c>
      <c r="K18" s="362" t="s">
        <v>34</v>
      </c>
      <c r="L18" s="362" t="s">
        <v>34</v>
      </c>
      <c r="M18" s="362" t="s">
        <v>34</v>
      </c>
      <c r="N18" s="362" t="s">
        <v>34</v>
      </c>
      <c r="O18" s="362" t="s">
        <v>34</v>
      </c>
      <c r="P18" s="362" t="s">
        <v>34</v>
      </c>
      <c r="Q18" s="362" t="s">
        <v>34</v>
      </c>
      <c r="R18" s="362" t="s">
        <v>34</v>
      </c>
      <c r="S18" s="362" t="s">
        <v>34</v>
      </c>
      <c r="T18" s="362" t="s">
        <v>34</v>
      </c>
      <c r="U18" s="362" t="s">
        <v>34</v>
      </c>
      <c r="V18" s="17"/>
    </row>
    <row r="19" spans="1:22">
      <c r="A19" s="1">
        <f t="shared" si="0"/>
        <v>1997</v>
      </c>
      <c r="B19" s="362">
        <v>1.014</v>
      </c>
      <c r="C19" s="362">
        <v>1.0109999999999999</v>
      </c>
      <c r="D19" s="362">
        <v>1.006</v>
      </c>
      <c r="E19" s="362">
        <v>1.006</v>
      </c>
      <c r="F19" s="362">
        <v>1.0069999999999999</v>
      </c>
      <c r="G19" s="362">
        <v>1.0069999999999999</v>
      </c>
      <c r="H19" s="362">
        <v>1.006</v>
      </c>
      <c r="I19" s="362">
        <v>1.004</v>
      </c>
      <c r="J19" s="362" t="s">
        <v>34</v>
      </c>
      <c r="K19" s="362" t="s">
        <v>34</v>
      </c>
      <c r="L19" s="362" t="s">
        <v>34</v>
      </c>
      <c r="M19" s="362" t="s">
        <v>34</v>
      </c>
      <c r="N19" s="362" t="s">
        <v>34</v>
      </c>
      <c r="O19" s="362" t="s">
        <v>34</v>
      </c>
      <c r="P19" s="362" t="s">
        <v>34</v>
      </c>
      <c r="Q19" s="362" t="s">
        <v>34</v>
      </c>
      <c r="R19" s="362" t="s">
        <v>34</v>
      </c>
      <c r="S19" s="362" t="s">
        <v>34</v>
      </c>
      <c r="T19" s="362" t="s">
        <v>34</v>
      </c>
      <c r="U19" s="362" t="s">
        <v>34</v>
      </c>
      <c r="V19" s="17"/>
    </row>
    <row r="20" spans="1:22">
      <c r="A20" s="1">
        <f t="shared" si="0"/>
        <v>1998</v>
      </c>
      <c r="B20" s="362">
        <v>1.0129999999999999</v>
      </c>
      <c r="C20" s="362">
        <v>1.01</v>
      </c>
      <c r="D20" s="362">
        <v>1.0089999999999999</v>
      </c>
      <c r="E20" s="362">
        <v>1.008</v>
      </c>
      <c r="F20" s="362">
        <v>1.0089999999999999</v>
      </c>
      <c r="G20" s="362">
        <v>1.0069999999999999</v>
      </c>
      <c r="H20" s="362">
        <v>1.006</v>
      </c>
      <c r="I20" s="362" t="s">
        <v>34</v>
      </c>
      <c r="J20" s="362" t="s">
        <v>34</v>
      </c>
      <c r="K20" s="362" t="s">
        <v>34</v>
      </c>
      <c r="L20" s="362" t="s">
        <v>34</v>
      </c>
      <c r="M20" s="362" t="s">
        <v>34</v>
      </c>
      <c r="N20" s="362" t="s">
        <v>34</v>
      </c>
      <c r="O20" s="362" t="s">
        <v>34</v>
      </c>
      <c r="P20" s="362" t="s">
        <v>34</v>
      </c>
      <c r="Q20" s="362" t="s">
        <v>34</v>
      </c>
      <c r="R20" s="362" t="s">
        <v>34</v>
      </c>
      <c r="S20" s="362" t="s">
        <v>34</v>
      </c>
      <c r="T20" s="362" t="s">
        <v>34</v>
      </c>
      <c r="U20" s="362" t="s">
        <v>34</v>
      </c>
      <c r="V20" s="17"/>
    </row>
    <row r="21" spans="1:22">
      <c r="A21" s="1">
        <f t="shared" si="0"/>
        <v>1999</v>
      </c>
      <c r="B21" s="362">
        <v>1.012</v>
      </c>
      <c r="C21" s="362">
        <v>1.0089999999999999</v>
      </c>
      <c r="D21" s="362">
        <v>1.0089999999999999</v>
      </c>
      <c r="E21" s="362">
        <v>1.008</v>
      </c>
      <c r="F21" s="362">
        <v>1.006</v>
      </c>
      <c r="G21" s="362">
        <v>1.0049999999999999</v>
      </c>
      <c r="H21" s="362" t="s">
        <v>34</v>
      </c>
      <c r="I21" s="362" t="s">
        <v>34</v>
      </c>
      <c r="J21" s="362" t="s">
        <v>34</v>
      </c>
      <c r="K21" s="362" t="s">
        <v>34</v>
      </c>
      <c r="L21" s="362" t="s">
        <v>34</v>
      </c>
      <c r="M21" s="362" t="s">
        <v>34</v>
      </c>
      <c r="N21" s="362" t="s">
        <v>34</v>
      </c>
      <c r="O21" s="362" t="s">
        <v>34</v>
      </c>
      <c r="P21" s="362" t="s">
        <v>34</v>
      </c>
      <c r="Q21" s="362" t="s">
        <v>34</v>
      </c>
      <c r="R21" s="362" t="s">
        <v>34</v>
      </c>
      <c r="S21" s="362" t="s">
        <v>34</v>
      </c>
      <c r="T21" s="362" t="s">
        <v>34</v>
      </c>
      <c r="U21" s="362" t="s">
        <v>34</v>
      </c>
      <c r="V21" s="17"/>
    </row>
    <row r="22" spans="1:22">
      <c r="A22" s="1">
        <f t="shared" si="0"/>
        <v>2000</v>
      </c>
      <c r="B22" s="362">
        <v>1.0089999999999999</v>
      </c>
      <c r="C22" s="362">
        <v>1.008</v>
      </c>
      <c r="D22" s="362">
        <v>1.0069999999999999</v>
      </c>
      <c r="E22" s="362">
        <v>1.006</v>
      </c>
      <c r="F22" s="362">
        <v>1.0049999999999999</v>
      </c>
      <c r="G22" s="362" t="s">
        <v>34</v>
      </c>
      <c r="H22" s="362" t="s">
        <v>34</v>
      </c>
      <c r="I22" s="362" t="s">
        <v>34</v>
      </c>
      <c r="J22" s="362" t="s">
        <v>34</v>
      </c>
      <c r="K22" s="362" t="s">
        <v>34</v>
      </c>
      <c r="L22" s="362" t="s">
        <v>34</v>
      </c>
      <c r="M22" s="362" t="s">
        <v>34</v>
      </c>
      <c r="N22" s="362" t="s">
        <v>34</v>
      </c>
      <c r="O22" s="362" t="s">
        <v>34</v>
      </c>
      <c r="P22" s="362" t="s">
        <v>34</v>
      </c>
      <c r="Q22" s="362" t="s">
        <v>34</v>
      </c>
      <c r="R22" s="362" t="s">
        <v>34</v>
      </c>
      <c r="S22" s="362" t="s">
        <v>34</v>
      </c>
      <c r="T22" s="362" t="s">
        <v>34</v>
      </c>
      <c r="U22" s="362" t="s">
        <v>34</v>
      </c>
      <c r="V22" s="17"/>
    </row>
    <row r="23" spans="1:22">
      <c r="A23" s="1">
        <f t="shared" si="0"/>
        <v>2001</v>
      </c>
      <c r="B23" s="362">
        <v>1.01</v>
      </c>
      <c r="C23" s="362">
        <v>1.01</v>
      </c>
      <c r="D23" s="362">
        <v>1.0089999999999999</v>
      </c>
      <c r="E23" s="362">
        <v>1.0049999999999999</v>
      </c>
      <c r="F23" s="362" t="s">
        <v>34</v>
      </c>
      <c r="G23" s="362" t="s">
        <v>34</v>
      </c>
      <c r="H23" s="362" t="s">
        <v>34</v>
      </c>
      <c r="I23" s="362" t="s">
        <v>34</v>
      </c>
      <c r="J23" s="362" t="s">
        <v>34</v>
      </c>
      <c r="K23" s="362" t="s">
        <v>34</v>
      </c>
      <c r="L23" s="362" t="s">
        <v>34</v>
      </c>
      <c r="M23" s="362" t="s">
        <v>34</v>
      </c>
      <c r="N23" s="362" t="s">
        <v>34</v>
      </c>
      <c r="O23" s="362" t="s">
        <v>34</v>
      </c>
      <c r="P23" s="362" t="s">
        <v>34</v>
      </c>
      <c r="Q23" s="362" t="s">
        <v>34</v>
      </c>
      <c r="R23" s="362" t="s">
        <v>34</v>
      </c>
      <c r="S23" s="362" t="s">
        <v>34</v>
      </c>
      <c r="T23" s="362" t="s">
        <v>34</v>
      </c>
      <c r="U23" s="362" t="s">
        <v>34</v>
      </c>
      <c r="V23" s="17"/>
    </row>
    <row r="24" spans="1:22">
      <c r="A24" s="1">
        <f>+A25-1</f>
        <v>2002</v>
      </c>
      <c r="B24" s="362">
        <v>1.0089999999999999</v>
      </c>
      <c r="C24" s="362">
        <v>1.008</v>
      </c>
      <c r="D24" s="362">
        <v>1.006</v>
      </c>
      <c r="E24" s="362" t="s">
        <v>34</v>
      </c>
      <c r="F24" s="362" t="s">
        <v>34</v>
      </c>
      <c r="G24" s="362" t="s">
        <v>34</v>
      </c>
      <c r="H24" s="362" t="s">
        <v>34</v>
      </c>
      <c r="I24" s="362" t="s">
        <v>34</v>
      </c>
      <c r="J24" s="362" t="s">
        <v>34</v>
      </c>
      <c r="K24" s="362" t="s">
        <v>34</v>
      </c>
      <c r="L24" s="362" t="s">
        <v>34</v>
      </c>
      <c r="M24" s="362" t="s">
        <v>34</v>
      </c>
      <c r="N24" s="362" t="s">
        <v>34</v>
      </c>
      <c r="O24" s="362" t="s">
        <v>34</v>
      </c>
      <c r="P24" s="362" t="s">
        <v>34</v>
      </c>
      <c r="Q24" s="362" t="s">
        <v>34</v>
      </c>
      <c r="R24" s="362" t="s">
        <v>34</v>
      </c>
      <c r="S24" s="362" t="s">
        <v>34</v>
      </c>
      <c r="T24" s="362" t="s">
        <v>34</v>
      </c>
      <c r="U24" s="362" t="s">
        <v>34</v>
      </c>
      <c r="V24" s="17"/>
    </row>
    <row r="25" spans="1:22">
      <c r="A25" s="1">
        <f>+A26-1</f>
        <v>2003</v>
      </c>
      <c r="B25" s="362">
        <v>1.01</v>
      </c>
      <c r="C25" s="362">
        <v>1.008</v>
      </c>
      <c r="D25" s="362" t="s">
        <v>34</v>
      </c>
      <c r="E25" s="362" t="s">
        <v>34</v>
      </c>
      <c r="F25" s="362" t="s">
        <v>34</v>
      </c>
      <c r="G25" s="362" t="s">
        <v>34</v>
      </c>
      <c r="H25" s="362" t="s">
        <v>34</v>
      </c>
      <c r="I25" s="362" t="s">
        <v>34</v>
      </c>
      <c r="J25" s="362" t="s">
        <v>34</v>
      </c>
      <c r="K25" s="362" t="s">
        <v>34</v>
      </c>
      <c r="L25" s="362" t="s">
        <v>34</v>
      </c>
      <c r="M25" s="362" t="s">
        <v>34</v>
      </c>
      <c r="N25" s="362" t="s">
        <v>34</v>
      </c>
      <c r="O25" s="362" t="s">
        <v>34</v>
      </c>
      <c r="P25" s="362" t="s">
        <v>34</v>
      </c>
      <c r="Q25" s="362" t="s">
        <v>34</v>
      </c>
      <c r="R25" s="362" t="s">
        <v>34</v>
      </c>
      <c r="S25" s="362" t="s">
        <v>34</v>
      </c>
      <c r="T25" s="362" t="s">
        <v>34</v>
      </c>
      <c r="U25" s="362" t="s">
        <v>34</v>
      </c>
      <c r="V25" s="17"/>
    </row>
    <row r="26" spans="1:22">
      <c r="A26" s="1">
        <f>'Exhibit 2.3.2'!A26</f>
        <v>2004</v>
      </c>
      <c r="B26" s="362">
        <v>1.008</v>
      </c>
      <c r="C26" s="362" t="s">
        <v>34</v>
      </c>
      <c r="D26" s="362" t="s">
        <v>34</v>
      </c>
      <c r="E26" s="362" t="s">
        <v>34</v>
      </c>
      <c r="F26" s="362" t="s">
        <v>34</v>
      </c>
      <c r="G26" s="362" t="s">
        <v>34</v>
      </c>
      <c r="H26" s="362" t="s">
        <v>34</v>
      </c>
      <c r="I26" s="362" t="s">
        <v>34</v>
      </c>
      <c r="J26" s="362" t="s">
        <v>34</v>
      </c>
      <c r="K26" s="362" t="s">
        <v>34</v>
      </c>
      <c r="L26" s="362" t="s">
        <v>34</v>
      </c>
      <c r="M26" s="362" t="s">
        <v>34</v>
      </c>
      <c r="N26" s="362" t="s">
        <v>34</v>
      </c>
      <c r="O26" s="362" t="s">
        <v>34</v>
      </c>
      <c r="P26" s="362" t="s">
        <v>34</v>
      </c>
      <c r="Q26" s="362" t="s">
        <v>34</v>
      </c>
      <c r="R26" s="362" t="s">
        <v>34</v>
      </c>
      <c r="S26" s="362" t="s">
        <v>34</v>
      </c>
      <c r="T26" s="362" t="s">
        <v>34</v>
      </c>
      <c r="U26" s="362" t="s">
        <v>34</v>
      </c>
      <c r="V26" s="17"/>
    </row>
    <row r="27" spans="1:22">
      <c r="A27" s="1"/>
      <c r="B27" s="16"/>
      <c r="C27" s="16"/>
      <c r="D27" s="16"/>
      <c r="E27" s="16"/>
      <c r="F27" s="16"/>
      <c r="G27" s="16"/>
      <c r="H27" s="16"/>
      <c r="I27" s="16"/>
      <c r="J27" s="16"/>
      <c r="K27" s="16"/>
      <c r="L27" s="16"/>
      <c r="M27" s="16"/>
      <c r="N27" s="16"/>
      <c r="O27" s="16"/>
      <c r="P27" s="16"/>
      <c r="Q27" s="17"/>
      <c r="R27" s="17"/>
      <c r="S27" s="469"/>
      <c r="T27" s="504"/>
      <c r="U27" s="17"/>
      <c r="V27" s="17"/>
    </row>
    <row r="28" spans="1:22" ht="15">
      <c r="A28" s="1" t="s">
        <v>59</v>
      </c>
      <c r="B28" s="246" t="s">
        <v>18</v>
      </c>
      <c r="C28" s="246"/>
      <c r="D28" s="246"/>
      <c r="E28" s="246"/>
      <c r="F28" s="246"/>
      <c r="G28" s="246"/>
      <c r="H28" s="246"/>
      <c r="I28" s="246"/>
      <c r="J28" s="246"/>
      <c r="K28" s="246"/>
      <c r="L28" s="246"/>
      <c r="M28" s="246"/>
      <c r="N28" s="246"/>
      <c r="O28" s="246"/>
      <c r="P28" s="246"/>
      <c r="Q28" s="246"/>
      <c r="R28" s="246"/>
      <c r="S28" s="246"/>
      <c r="T28" s="246"/>
      <c r="U28" s="246"/>
      <c r="V28" s="247"/>
    </row>
    <row r="29" spans="1:22">
      <c r="A29" s="19" t="s">
        <v>19</v>
      </c>
      <c r="B29" s="19" t="str">
        <f>+B4</f>
        <v>216/204</v>
      </c>
      <c r="C29" s="19" t="str">
        <f t="shared" ref="C29:S29" si="1">+C4</f>
        <v>228/216</v>
      </c>
      <c r="D29" s="19" t="str">
        <f t="shared" si="1"/>
        <v>240/228</v>
      </c>
      <c r="E29" s="19" t="str">
        <f t="shared" si="1"/>
        <v>252/240</v>
      </c>
      <c r="F29" s="19" t="str">
        <f t="shared" si="1"/>
        <v>264/252</v>
      </c>
      <c r="G29" s="19" t="str">
        <f t="shared" si="1"/>
        <v>276/264</v>
      </c>
      <c r="H29" s="19" t="str">
        <f t="shared" si="1"/>
        <v>288/276</v>
      </c>
      <c r="I29" s="19" t="str">
        <f t="shared" si="1"/>
        <v>300/288</v>
      </c>
      <c r="J29" s="19" t="str">
        <f t="shared" si="1"/>
        <v>312/300</v>
      </c>
      <c r="K29" s="19" t="str">
        <f t="shared" si="1"/>
        <v>324/312</v>
      </c>
      <c r="L29" s="19" t="str">
        <f t="shared" si="1"/>
        <v>336/324</v>
      </c>
      <c r="M29" s="19" t="str">
        <f t="shared" si="1"/>
        <v>348/336</v>
      </c>
      <c r="N29" s="19" t="str">
        <f t="shared" si="1"/>
        <v>360/348</v>
      </c>
      <c r="O29" s="19" t="str">
        <f t="shared" si="1"/>
        <v>372/360</v>
      </c>
      <c r="P29" s="19" t="str">
        <f t="shared" si="1"/>
        <v>384/372</v>
      </c>
      <c r="Q29" s="19" t="str">
        <f t="shared" si="1"/>
        <v>396/384</v>
      </c>
      <c r="R29" s="19" t="str">
        <f t="shared" si="1"/>
        <v>408/396</v>
      </c>
      <c r="S29" s="19" t="str">
        <f t="shared" si="1"/>
        <v>420/408</v>
      </c>
      <c r="T29" s="11" t="s">
        <v>479</v>
      </c>
      <c r="U29" s="11" t="s">
        <v>507</v>
      </c>
      <c r="V29" s="11" t="s">
        <v>516</v>
      </c>
    </row>
    <row r="30" spans="1:22">
      <c r="A30" s="1">
        <f t="shared" ref="A30:A32" si="2">+A5</f>
        <v>1983</v>
      </c>
      <c r="B30" s="362"/>
      <c r="C30" s="362"/>
      <c r="D30" s="362"/>
      <c r="E30" s="362"/>
      <c r="F30" s="362"/>
      <c r="G30" s="362"/>
      <c r="H30" s="362"/>
      <c r="I30" s="362"/>
      <c r="J30" s="362"/>
      <c r="K30" s="362"/>
      <c r="L30" s="362"/>
      <c r="M30" s="362"/>
      <c r="N30" s="362"/>
      <c r="O30" s="362"/>
      <c r="P30" s="362"/>
      <c r="Q30" s="362"/>
      <c r="R30" s="362"/>
      <c r="S30" s="362"/>
      <c r="T30" s="362"/>
      <c r="U30" s="362">
        <v>1.002</v>
      </c>
      <c r="V30" s="16"/>
    </row>
    <row r="31" spans="1:22" s="502" customFormat="1">
      <c r="A31" s="1">
        <f t="shared" si="2"/>
        <v>1984</v>
      </c>
      <c r="B31" s="362"/>
      <c r="C31" s="362"/>
      <c r="D31" s="362"/>
      <c r="E31" s="362"/>
      <c r="F31" s="362"/>
      <c r="G31" s="362"/>
      <c r="H31" s="362"/>
      <c r="I31" s="362"/>
      <c r="J31" s="362"/>
      <c r="K31" s="362"/>
      <c r="L31" s="362"/>
      <c r="M31" s="362"/>
      <c r="N31" s="362"/>
      <c r="O31" s="362"/>
      <c r="P31" s="362"/>
      <c r="Q31" s="362"/>
      <c r="R31" s="362"/>
      <c r="S31" s="362"/>
      <c r="T31" s="362">
        <v>1.002</v>
      </c>
      <c r="U31" s="362">
        <v>1.0009999999999999</v>
      </c>
      <c r="V31" s="16"/>
    </row>
    <row r="32" spans="1:22" s="466" customFormat="1">
      <c r="A32" s="1">
        <f t="shared" si="2"/>
        <v>1985</v>
      </c>
      <c r="B32" s="362"/>
      <c r="C32" s="362"/>
      <c r="D32" s="362"/>
      <c r="E32" s="362"/>
      <c r="F32" s="362"/>
      <c r="G32" s="362"/>
      <c r="H32" s="362"/>
      <c r="I32" s="362"/>
      <c r="J32" s="362"/>
      <c r="K32" s="362"/>
      <c r="L32" s="362"/>
      <c r="M32" s="362"/>
      <c r="N32" s="362"/>
      <c r="O32" s="362"/>
      <c r="P32" s="362"/>
      <c r="Q32" s="362"/>
      <c r="R32" s="362"/>
      <c r="S32" s="362">
        <v>1.002</v>
      </c>
      <c r="T32" s="362">
        <v>1.002</v>
      </c>
      <c r="U32" s="362">
        <v>1.0009999999999999</v>
      </c>
      <c r="V32" s="16"/>
    </row>
    <row r="33" spans="1:22" s="293" customFormat="1">
      <c r="A33" s="1">
        <f t="shared" ref="A33:A51" si="3">+A8</f>
        <v>1986</v>
      </c>
      <c r="B33" s="362"/>
      <c r="C33" s="362"/>
      <c r="D33" s="362"/>
      <c r="E33" s="362"/>
      <c r="F33" s="362"/>
      <c r="G33" s="362"/>
      <c r="H33" s="362"/>
      <c r="I33" s="362"/>
      <c r="J33" s="362"/>
      <c r="K33" s="362"/>
      <c r="L33" s="362"/>
      <c r="M33" s="362"/>
      <c r="N33" s="362"/>
      <c r="O33" s="362"/>
      <c r="P33" s="362"/>
      <c r="Q33" s="362"/>
      <c r="R33" s="362">
        <v>1.0029999999999999</v>
      </c>
      <c r="S33" s="362">
        <v>1.004</v>
      </c>
      <c r="T33" s="362">
        <v>1.0009999999999999</v>
      </c>
      <c r="U33" s="362" t="s">
        <v>34</v>
      </c>
      <c r="V33" s="16"/>
    </row>
    <row r="34" spans="1:22" ht="15">
      <c r="A34" s="1">
        <f t="shared" si="3"/>
        <v>1987</v>
      </c>
      <c r="B34" s="362"/>
      <c r="C34" s="362"/>
      <c r="D34" s="362"/>
      <c r="E34" s="362"/>
      <c r="F34" s="362"/>
      <c r="G34" s="362"/>
      <c r="H34" s="362"/>
      <c r="I34" s="362"/>
      <c r="J34" s="362"/>
      <c r="K34" s="362"/>
      <c r="L34" s="362"/>
      <c r="M34" s="362"/>
      <c r="N34" s="362"/>
      <c r="O34" s="362"/>
      <c r="P34" s="362"/>
      <c r="Q34" s="362">
        <v>1.002</v>
      </c>
      <c r="R34" s="362">
        <v>1.0029999999999999</v>
      </c>
      <c r="S34" s="362">
        <v>1.0029999999999999</v>
      </c>
      <c r="T34" s="362" t="s">
        <v>34</v>
      </c>
      <c r="U34" t="s">
        <v>34</v>
      </c>
      <c r="V34" s="16"/>
    </row>
    <row r="35" spans="1:22" ht="15">
      <c r="A35" s="1">
        <f t="shared" si="3"/>
        <v>1988</v>
      </c>
      <c r="B35" s="362"/>
      <c r="C35" s="362"/>
      <c r="D35" s="362"/>
      <c r="E35" s="362"/>
      <c r="F35" s="362"/>
      <c r="G35" s="362"/>
      <c r="H35" s="362"/>
      <c r="I35" s="362"/>
      <c r="J35" s="362"/>
      <c r="K35" s="362"/>
      <c r="L35" s="362"/>
      <c r="M35" s="362"/>
      <c r="N35" s="362"/>
      <c r="O35" s="362"/>
      <c r="P35" s="362">
        <v>1.0029999999999999</v>
      </c>
      <c r="Q35" s="362">
        <v>1.002</v>
      </c>
      <c r="R35" s="362">
        <v>1.0029999999999999</v>
      </c>
      <c r="S35" t="s">
        <v>34</v>
      </c>
      <c r="T35" t="s">
        <v>34</v>
      </c>
      <c r="U35" t="s">
        <v>34</v>
      </c>
      <c r="V35" s="16"/>
    </row>
    <row r="36" spans="1:22" ht="15">
      <c r="A36" s="1">
        <f t="shared" si="3"/>
        <v>1989</v>
      </c>
      <c r="B36" s="362"/>
      <c r="C36" s="362"/>
      <c r="D36" s="362"/>
      <c r="E36" s="362"/>
      <c r="F36" s="362"/>
      <c r="G36" s="362"/>
      <c r="H36" s="362"/>
      <c r="I36" s="362"/>
      <c r="J36" s="362"/>
      <c r="K36" s="362"/>
      <c r="L36" s="362"/>
      <c r="M36" s="362"/>
      <c r="N36" s="362"/>
      <c r="O36" s="362">
        <v>1.0029999999999999</v>
      </c>
      <c r="P36" s="362">
        <v>1.0049999999999999</v>
      </c>
      <c r="Q36" s="362">
        <v>1.002</v>
      </c>
      <c r="R36" s="362"/>
      <c r="S36" s="362"/>
      <c r="T36" s="362"/>
      <c r="U36"/>
      <c r="V36" s="16"/>
    </row>
    <row r="37" spans="1:22">
      <c r="A37" s="1">
        <f t="shared" si="3"/>
        <v>1990</v>
      </c>
      <c r="B37" s="362"/>
      <c r="C37" s="362"/>
      <c r="D37" s="362"/>
      <c r="E37" s="362"/>
      <c r="F37" s="362"/>
      <c r="G37" s="362"/>
      <c r="H37" s="362"/>
      <c r="I37" s="362"/>
      <c r="J37" s="362"/>
      <c r="K37" s="362"/>
      <c r="L37" s="362"/>
      <c r="M37" s="362"/>
      <c r="N37" s="362">
        <v>1.0029999999999999</v>
      </c>
      <c r="O37" s="362">
        <v>1.002</v>
      </c>
      <c r="P37" s="362">
        <v>1.0029999999999999</v>
      </c>
      <c r="Q37" s="362"/>
      <c r="R37" s="362"/>
      <c r="S37" s="362"/>
      <c r="T37" s="362"/>
      <c r="U37" s="362"/>
      <c r="V37" s="16"/>
    </row>
    <row r="38" spans="1:22">
      <c r="A38" s="1">
        <f t="shared" si="3"/>
        <v>1991</v>
      </c>
      <c r="B38" s="362"/>
      <c r="C38" s="362"/>
      <c r="D38" s="362"/>
      <c r="E38" s="362"/>
      <c r="F38" s="362"/>
      <c r="G38" s="362"/>
      <c r="H38" s="362"/>
      <c r="I38" s="362"/>
      <c r="J38" s="362"/>
      <c r="K38" s="362"/>
      <c r="L38" s="362"/>
      <c r="M38" s="362">
        <v>1.004</v>
      </c>
      <c r="N38" s="362">
        <v>1.0029999999999999</v>
      </c>
      <c r="O38" s="362">
        <v>1.002</v>
      </c>
      <c r="P38" s="362"/>
      <c r="Q38" s="362"/>
      <c r="R38" s="362"/>
      <c r="S38" s="362"/>
      <c r="T38" s="362"/>
      <c r="U38" s="362"/>
      <c r="V38" s="16"/>
    </row>
    <row r="39" spans="1:22">
      <c r="A39" s="1">
        <f t="shared" si="3"/>
        <v>1992</v>
      </c>
      <c r="B39" s="362"/>
      <c r="C39" s="362"/>
      <c r="D39" s="362"/>
      <c r="E39" s="362"/>
      <c r="F39" s="362"/>
      <c r="G39" s="362"/>
      <c r="H39" s="362"/>
      <c r="I39" s="362"/>
      <c r="J39" s="362"/>
      <c r="K39" s="362"/>
      <c r="L39" s="362">
        <v>1.006</v>
      </c>
      <c r="M39" s="362">
        <v>1.0029999999999999</v>
      </c>
      <c r="N39" s="362">
        <v>1.0029999999999999</v>
      </c>
      <c r="O39" s="362"/>
      <c r="P39" s="362"/>
      <c r="Q39" s="362"/>
      <c r="R39" s="362"/>
      <c r="S39" s="362"/>
      <c r="T39" s="362"/>
      <c r="U39" s="362"/>
      <c r="V39" s="17"/>
    </row>
    <row r="40" spans="1:22">
      <c r="A40" s="1">
        <f t="shared" si="3"/>
        <v>1993</v>
      </c>
      <c r="B40" s="362"/>
      <c r="C40" s="362"/>
      <c r="D40" s="362"/>
      <c r="E40" s="362"/>
      <c r="F40" s="362"/>
      <c r="G40" s="362"/>
      <c r="H40" s="362"/>
      <c r="I40" s="362"/>
      <c r="J40" s="362"/>
      <c r="K40" s="362">
        <v>1.0089999999999999</v>
      </c>
      <c r="L40" s="362">
        <v>1.004</v>
      </c>
      <c r="M40" s="362">
        <v>1.0029999999999999</v>
      </c>
      <c r="N40" s="362"/>
      <c r="O40" s="362"/>
      <c r="P40" s="362"/>
      <c r="Q40" s="362"/>
      <c r="R40" s="362"/>
      <c r="S40" s="362"/>
      <c r="T40" s="362"/>
      <c r="U40" s="362"/>
      <c r="V40" s="17"/>
    </row>
    <row r="41" spans="1:22">
      <c r="A41" s="1">
        <f t="shared" si="3"/>
        <v>1994</v>
      </c>
      <c r="B41" s="362"/>
      <c r="C41" s="362"/>
      <c r="D41" s="362"/>
      <c r="E41" s="362"/>
      <c r="F41" s="362"/>
      <c r="G41" s="362"/>
      <c r="H41" s="362"/>
      <c r="I41" s="362"/>
      <c r="J41" s="362">
        <v>1.0049999999999999</v>
      </c>
      <c r="K41" s="362">
        <v>1.0049999999999999</v>
      </c>
      <c r="L41" s="362">
        <v>1.004</v>
      </c>
      <c r="M41" s="362"/>
      <c r="N41" s="362"/>
      <c r="O41" s="362"/>
      <c r="P41" s="362"/>
      <c r="Q41" s="362"/>
      <c r="R41" s="362"/>
      <c r="S41" s="362"/>
      <c r="T41" s="362"/>
      <c r="U41" s="362"/>
      <c r="V41" s="23"/>
    </row>
    <row r="42" spans="1:22">
      <c r="A42" s="1">
        <f t="shared" si="3"/>
        <v>1995</v>
      </c>
      <c r="B42" s="362"/>
      <c r="C42" s="362"/>
      <c r="D42" s="362"/>
      <c r="E42" s="362"/>
      <c r="F42" s="362"/>
      <c r="G42" s="362"/>
      <c r="H42" s="362"/>
      <c r="I42" s="362">
        <v>1.01</v>
      </c>
      <c r="J42" s="362">
        <v>1.0069999999999999</v>
      </c>
      <c r="K42" s="362">
        <v>1.006</v>
      </c>
      <c r="L42" s="362"/>
      <c r="M42" s="362"/>
      <c r="N42" s="362"/>
      <c r="O42" s="362"/>
      <c r="P42" s="362"/>
      <c r="Q42" s="362"/>
      <c r="R42" s="362"/>
      <c r="S42" s="362"/>
      <c r="T42" s="362"/>
      <c r="U42" s="362"/>
      <c r="V42" s="17"/>
    </row>
    <row r="43" spans="1:22">
      <c r="A43" s="1">
        <f t="shared" si="3"/>
        <v>1996</v>
      </c>
      <c r="B43" s="362"/>
      <c r="C43" s="362"/>
      <c r="D43" s="362"/>
      <c r="E43" s="362"/>
      <c r="F43" s="362"/>
      <c r="G43" s="362"/>
      <c r="H43" s="362">
        <v>1.0089999999999999</v>
      </c>
      <c r="I43" s="362">
        <v>1.0069999999999999</v>
      </c>
      <c r="J43" s="362">
        <v>1.0049999999999999</v>
      </c>
      <c r="K43" s="362"/>
      <c r="L43" s="362"/>
      <c r="M43" s="362"/>
      <c r="N43" s="362"/>
      <c r="O43" s="362"/>
      <c r="P43" s="362"/>
      <c r="Q43" s="362"/>
      <c r="R43" s="362"/>
      <c r="S43" s="362"/>
      <c r="T43" s="362"/>
      <c r="U43" s="362"/>
      <c r="V43" s="17"/>
    </row>
    <row r="44" spans="1:22">
      <c r="A44" s="1">
        <f t="shared" si="3"/>
        <v>1997</v>
      </c>
      <c r="B44" s="362"/>
      <c r="C44" s="362"/>
      <c r="D44" s="362"/>
      <c r="E44" s="362"/>
      <c r="F44" s="362"/>
      <c r="G44" s="362">
        <v>1.008</v>
      </c>
      <c r="H44" s="362">
        <v>1.006</v>
      </c>
      <c r="I44" s="362">
        <v>1.0049999999999999</v>
      </c>
      <c r="J44" s="362"/>
      <c r="K44" s="362"/>
      <c r="L44" s="362"/>
      <c r="M44" s="362"/>
      <c r="N44" s="362"/>
      <c r="O44" s="362"/>
      <c r="P44" s="362"/>
      <c r="Q44" s="362"/>
      <c r="R44" s="362"/>
      <c r="S44" s="362"/>
      <c r="T44" s="362"/>
      <c r="U44" s="362"/>
      <c r="V44" s="17"/>
    </row>
    <row r="45" spans="1:22">
      <c r="A45" s="1">
        <f t="shared" si="3"/>
        <v>1998</v>
      </c>
      <c r="B45" s="362"/>
      <c r="C45" s="362"/>
      <c r="D45" s="362"/>
      <c r="E45" s="362"/>
      <c r="F45" s="362">
        <v>1.01</v>
      </c>
      <c r="G45" s="362">
        <v>1.008</v>
      </c>
      <c r="H45" s="362">
        <v>1.006</v>
      </c>
      <c r="I45" s="362"/>
      <c r="J45" s="362"/>
      <c r="K45" s="362"/>
      <c r="L45" s="362"/>
      <c r="M45" s="362"/>
      <c r="N45" s="362"/>
      <c r="O45" s="362"/>
      <c r="P45" s="362"/>
      <c r="Q45" s="362"/>
      <c r="R45" s="362"/>
      <c r="S45" s="362"/>
      <c r="T45" s="362"/>
      <c r="U45" s="362"/>
      <c r="V45" s="17"/>
    </row>
    <row r="46" spans="1:22">
      <c r="A46" s="1">
        <f t="shared" si="3"/>
        <v>1999</v>
      </c>
      <c r="B46" s="362"/>
      <c r="C46" s="362"/>
      <c r="D46" s="362"/>
      <c r="E46" s="362">
        <v>1.0089999999999999</v>
      </c>
      <c r="F46" s="362">
        <v>1.006</v>
      </c>
      <c r="G46" s="362">
        <v>1.006</v>
      </c>
      <c r="H46" s="362"/>
      <c r="I46" s="362"/>
      <c r="J46" s="362"/>
      <c r="K46" s="362"/>
      <c r="L46" s="362"/>
      <c r="M46" s="362"/>
      <c r="N46" s="362"/>
      <c r="O46" s="362"/>
      <c r="P46" s="362"/>
      <c r="Q46" s="362"/>
      <c r="R46" s="362"/>
      <c r="S46" s="362"/>
      <c r="T46" s="362"/>
      <c r="U46" s="362"/>
      <c r="V46" s="17"/>
    </row>
    <row r="47" spans="1:22">
      <c r="A47" s="1">
        <f t="shared" si="3"/>
        <v>2000</v>
      </c>
      <c r="B47" s="362"/>
      <c r="C47" s="362"/>
      <c r="D47" s="362">
        <v>1.0069999999999999</v>
      </c>
      <c r="E47" s="362">
        <v>1.006</v>
      </c>
      <c r="F47" s="362">
        <v>1.006</v>
      </c>
      <c r="G47" s="362"/>
      <c r="H47" s="362"/>
      <c r="I47" s="362"/>
      <c r="J47" s="362"/>
      <c r="K47" s="362"/>
      <c r="L47" s="362"/>
      <c r="M47" s="362"/>
      <c r="N47" s="362"/>
      <c r="O47" s="362"/>
      <c r="P47" s="362"/>
      <c r="Q47" s="362"/>
      <c r="R47" s="362"/>
      <c r="S47" s="362"/>
      <c r="T47" s="362"/>
      <c r="U47" s="362"/>
      <c r="V47" s="17"/>
    </row>
    <row r="48" spans="1:22">
      <c r="A48" s="1">
        <f t="shared" si="3"/>
        <v>2001</v>
      </c>
      <c r="B48" s="362"/>
      <c r="C48" s="362">
        <v>1.0109999999999999</v>
      </c>
      <c r="D48" s="362">
        <v>1.01</v>
      </c>
      <c r="E48" s="362">
        <v>1.006</v>
      </c>
      <c r="F48" s="362"/>
      <c r="G48" s="362"/>
      <c r="H48" s="362"/>
      <c r="I48" s="362"/>
      <c r="J48" s="362"/>
      <c r="K48" s="362"/>
      <c r="L48" s="362"/>
      <c r="M48" s="362"/>
      <c r="N48" s="362"/>
      <c r="O48" s="362"/>
      <c r="P48" s="362"/>
      <c r="Q48" s="362"/>
      <c r="R48" s="362"/>
      <c r="S48" s="362"/>
      <c r="T48" s="362"/>
      <c r="U48" s="362"/>
      <c r="V48" s="17"/>
    </row>
    <row r="49" spans="1:22">
      <c r="A49" s="1">
        <f t="shared" si="3"/>
        <v>2002</v>
      </c>
      <c r="B49" s="362">
        <v>1.01</v>
      </c>
      <c r="C49" s="362">
        <v>1.0089999999999999</v>
      </c>
      <c r="D49" s="362">
        <v>1.0069999999999999</v>
      </c>
      <c r="E49" s="362"/>
      <c r="F49" s="362"/>
      <c r="G49" s="362"/>
      <c r="H49" s="362"/>
      <c r="I49" s="362"/>
      <c r="J49" s="362"/>
      <c r="K49" s="362"/>
      <c r="L49" s="362"/>
      <c r="M49" s="362"/>
      <c r="N49" s="362"/>
      <c r="O49" s="362"/>
      <c r="P49" s="362"/>
      <c r="Q49" s="362"/>
      <c r="R49" s="362"/>
      <c r="S49" s="362"/>
      <c r="T49" s="362"/>
      <c r="U49" s="362"/>
      <c r="V49" s="17"/>
    </row>
    <row r="50" spans="1:22">
      <c r="A50" s="1">
        <f t="shared" si="3"/>
        <v>2003</v>
      </c>
      <c r="B50" s="362">
        <v>1.012</v>
      </c>
      <c r="C50" s="362">
        <v>1.0089999999999999</v>
      </c>
      <c r="D50" s="362"/>
      <c r="E50" s="362"/>
      <c r="F50" s="362"/>
      <c r="G50" s="362"/>
      <c r="H50" s="362"/>
      <c r="I50" s="362"/>
      <c r="J50" s="362"/>
      <c r="K50" s="362"/>
      <c r="L50" s="362"/>
      <c r="M50" s="362"/>
      <c r="N50" s="362"/>
      <c r="O50" s="362"/>
      <c r="P50" s="362"/>
      <c r="Q50" s="362"/>
      <c r="R50" s="362"/>
      <c r="S50" s="362"/>
      <c r="T50" s="362"/>
      <c r="U50" s="362"/>
      <c r="V50" s="17"/>
    </row>
    <row r="51" spans="1:22">
      <c r="A51" s="1">
        <f t="shared" si="3"/>
        <v>2004</v>
      </c>
      <c r="B51" s="362">
        <v>1.008</v>
      </c>
      <c r="C51" s="362"/>
      <c r="D51" s="362"/>
      <c r="E51" s="362"/>
      <c r="F51" s="362"/>
      <c r="G51" s="362"/>
      <c r="H51" s="362"/>
      <c r="I51" s="362"/>
      <c r="J51" s="362"/>
      <c r="K51" s="362"/>
      <c r="L51" s="362"/>
      <c r="M51" s="362"/>
      <c r="N51" s="362"/>
      <c r="O51" s="362"/>
      <c r="P51" s="362"/>
      <c r="Q51" s="362"/>
      <c r="R51" s="362"/>
      <c r="S51" s="362"/>
      <c r="T51" s="362"/>
      <c r="U51" s="362"/>
      <c r="V51" s="17"/>
    </row>
    <row r="52" spans="1:22">
      <c r="A52" s="22"/>
      <c r="B52" s="16"/>
      <c r="C52" s="16"/>
      <c r="D52" s="16"/>
      <c r="E52" s="16"/>
      <c r="F52" s="16"/>
      <c r="G52" s="16"/>
      <c r="H52" s="16"/>
      <c r="I52" s="16"/>
      <c r="J52" s="16"/>
      <c r="K52" s="16"/>
      <c r="L52" s="16"/>
      <c r="M52" s="16"/>
      <c r="N52" s="16"/>
      <c r="O52" s="16"/>
      <c r="P52" s="16"/>
      <c r="Q52" s="16"/>
      <c r="R52" s="16"/>
      <c r="S52" s="16"/>
      <c r="T52" s="16"/>
      <c r="U52" s="16"/>
      <c r="V52" s="16"/>
    </row>
    <row r="53" spans="1:22">
      <c r="A53" s="1" t="s">
        <v>36</v>
      </c>
      <c r="B53" s="16">
        <f>AVERAGE(B49:B51)</f>
        <v>1.01</v>
      </c>
      <c r="C53" s="16">
        <f>AVERAGE(C48:C50)</f>
        <v>1.0096666666666665</v>
      </c>
      <c r="D53" s="16">
        <f>AVERAGE(D47:D49)</f>
        <v>1.008</v>
      </c>
      <c r="E53" s="16">
        <f>AVERAGE(E46:E48)</f>
        <v>1.0069999999999999</v>
      </c>
      <c r="F53" s="16">
        <f>AVERAGE(F45:F47)</f>
        <v>1.0073333333333334</v>
      </c>
      <c r="G53" s="16">
        <f>AVERAGE(G44:G46)</f>
        <v>1.0073333333333334</v>
      </c>
      <c r="H53" s="16">
        <f>AVERAGE(H43:H45)</f>
        <v>1.0069999999999999</v>
      </c>
      <c r="I53" s="16">
        <f>AVERAGE(I42:I44)</f>
        <v>1.0073333333333332</v>
      </c>
      <c r="J53" s="16">
        <f>AVERAGE(J41:J43)</f>
        <v>1.0056666666666665</v>
      </c>
      <c r="K53" s="16">
        <f>AVERAGE(K40:K42)</f>
        <v>1.0066666666666666</v>
      </c>
      <c r="L53" s="16">
        <f>AVERAGE(L39:L41)</f>
        <v>1.0046666666666666</v>
      </c>
      <c r="M53" s="16">
        <f>AVERAGE(M38:M40)</f>
        <v>1.0033333333333332</v>
      </c>
      <c r="N53" s="16">
        <f>AVERAGE(N37:N39)</f>
        <v>1.0029999999999999</v>
      </c>
      <c r="O53" s="16">
        <f>AVERAGE(O36:O38)</f>
        <v>1.0023333333333333</v>
      </c>
      <c r="P53" s="16">
        <f>AVERAGE(P35:P37)</f>
        <v>1.0036666666666667</v>
      </c>
      <c r="Q53" s="16">
        <f>AVERAGE(Q34:Q36)</f>
        <v>1.002</v>
      </c>
      <c r="R53" s="16">
        <f>AVERAGE(R33:R35)</f>
        <v>1.0029999999999999</v>
      </c>
      <c r="S53" s="16">
        <f>AVERAGE(S32:S34)</f>
        <v>1.0030000000000001</v>
      </c>
      <c r="T53" s="16">
        <f>AVERAGE(T31:T33)</f>
        <v>1.0016666666666667</v>
      </c>
      <c r="U53" s="16">
        <f>AVERAGE(U30:U32)</f>
        <v>1.0013333333333334</v>
      </c>
      <c r="V53" s="16"/>
    </row>
    <row r="54" spans="1:22">
      <c r="A54" s="1" t="s">
        <v>21</v>
      </c>
      <c r="B54" s="16">
        <f t="shared" ref="B54:Q54" si="4">B53*C54</f>
        <v>1.1913073757709682</v>
      </c>
      <c r="C54" s="16">
        <f t="shared" si="4"/>
        <v>1.1795122532385824</v>
      </c>
      <c r="D54" s="16">
        <f t="shared" si="4"/>
        <v>1.1682194650761797</v>
      </c>
      <c r="E54" s="16">
        <f t="shared" si="4"/>
        <v>1.1589478820200194</v>
      </c>
      <c r="F54" s="16">
        <f t="shared" si="4"/>
        <v>1.1508916405362657</v>
      </c>
      <c r="G54" s="16">
        <f t="shared" si="4"/>
        <v>1.1425132103271995</v>
      </c>
      <c r="H54" s="16">
        <f t="shared" si="4"/>
        <v>1.1341957746464588</v>
      </c>
      <c r="I54" s="16">
        <f t="shared" si="4"/>
        <v>1.1263115934920149</v>
      </c>
      <c r="J54" s="16">
        <f t="shared" si="4"/>
        <v>1.1181121047240388</v>
      </c>
      <c r="K54" s="16">
        <f t="shared" si="4"/>
        <v>1.111811837644056</v>
      </c>
      <c r="L54" s="16">
        <f t="shared" si="4"/>
        <v>1.1044488453417776</v>
      </c>
      <c r="M54" s="16">
        <f t="shared" si="4"/>
        <v>1.0993186914483519</v>
      </c>
      <c r="N54" s="16">
        <f t="shared" si="4"/>
        <v>1.0956664698820784</v>
      </c>
      <c r="O54" s="16">
        <f t="shared" si="4"/>
        <v>1.0923893019761501</v>
      </c>
      <c r="P54" s="16">
        <f t="shared" si="4"/>
        <v>1.089846327212654</v>
      </c>
      <c r="Q54" s="16">
        <f t="shared" si="4"/>
        <v>1.0858648228621592</v>
      </c>
      <c r="R54" s="16">
        <f t="shared" ref="R54" si="5">R53*S54</f>
        <v>1.0836974280061469</v>
      </c>
      <c r="S54" s="16">
        <f t="shared" ref="S54" si="6">S53*T54</f>
        <v>1.080456059826667</v>
      </c>
      <c r="T54" s="16">
        <f t="shared" ref="T54" si="7">T53*U54</f>
        <v>1.0772243866666669</v>
      </c>
      <c r="U54" s="16">
        <f t="shared" ref="U54" si="8">U53*V54</f>
        <v>1.0754320000000002</v>
      </c>
      <c r="V54" s="21">
        <v>1.0740000000000001</v>
      </c>
    </row>
    <row r="55" spans="1:22">
      <c r="A55" s="22"/>
      <c r="B55" s="16"/>
      <c r="C55" s="16"/>
      <c r="D55" s="16"/>
      <c r="E55" s="16"/>
      <c r="F55" s="16"/>
      <c r="G55" s="16"/>
      <c r="H55" s="16"/>
      <c r="I55" s="16"/>
      <c r="J55" s="16"/>
      <c r="K55" s="16"/>
      <c r="L55" s="16"/>
      <c r="M55" s="16"/>
      <c r="N55" s="16"/>
      <c r="O55" s="16"/>
      <c r="P55" s="16"/>
      <c r="Q55" s="16"/>
      <c r="R55" s="16"/>
      <c r="S55" s="16"/>
      <c r="T55" s="16"/>
      <c r="U55" s="16"/>
      <c r="V55" s="16"/>
    </row>
    <row r="56" spans="1:22">
      <c r="A56" s="22"/>
      <c r="B56" s="16"/>
      <c r="C56" s="17"/>
      <c r="D56" s="17"/>
      <c r="E56" s="17"/>
      <c r="F56" s="17"/>
      <c r="G56" s="17"/>
      <c r="H56" s="17"/>
      <c r="I56" s="17"/>
      <c r="J56" s="17"/>
      <c r="K56" s="17"/>
      <c r="L56" s="17"/>
      <c r="M56" s="17"/>
      <c r="N56" s="17"/>
      <c r="O56" s="17"/>
      <c r="P56" s="16"/>
      <c r="Q56" s="16"/>
      <c r="R56" s="16"/>
      <c r="S56" s="16"/>
      <c r="T56" s="16"/>
      <c r="U56" s="16"/>
      <c r="V56" s="16"/>
    </row>
    <row r="57" spans="1:22" ht="12.75" customHeight="1">
      <c r="A57" s="24" t="s">
        <v>39</v>
      </c>
      <c r="B57" s="307" t="s">
        <v>517</v>
      </c>
      <c r="C57" s="307"/>
      <c r="D57" s="307"/>
      <c r="E57" s="307"/>
      <c r="F57" s="307"/>
      <c r="G57" s="307"/>
      <c r="H57" s="307"/>
      <c r="I57" s="307"/>
      <c r="J57" s="307"/>
      <c r="K57" s="307"/>
      <c r="L57" s="307"/>
      <c r="M57" s="307"/>
      <c r="N57" s="307"/>
      <c r="O57" s="307"/>
      <c r="P57" s="307"/>
      <c r="Q57" s="307"/>
      <c r="R57" s="230"/>
      <c r="S57" s="460"/>
      <c r="T57" s="497"/>
      <c r="U57" s="279"/>
      <c r="V57" s="167"/>
    </row>
    <row r="58" spans="1:22" ht="12.75" customHeight="1">
      <c r="A58" s="24"/>
      <c r="B58" s="307" t="s">
        <v>440</v>
      </c>
      <c r="C58" s="310"/>
      <c r="D58" s="304"/>
      <c r="E58" s="304"/>
      <c r="F58" s="304"/>
      <c r="G58" s="304"/>
      <c r="H58" s="304"/>
      <c r="I58" s="304"/>
      <c r="J58" s="304"/>
      <c r="K58" s="304"/>
      <c r="L58" s="304"/>
      <c r="M58" s="304"/>
      <c r="N58" s="304"/>
      <c r="O58" s="304"/>
      <c r="P58" s="304"/>
      <c r="Q58" s="304"/>
      <c r="R58" s="232"/>
      <c r="S58" s="304"/>
      <c r="T58" s="304"/>
      <c r="U58" s="283"/>
      <c r="V58" s="168"/>
    </row>
  </sheetData>
  <pageMargins left="0.7" right="0.7" top="0.75" bottom="0.75" header="0.3" footer="0.3"/>
  <pageSetup scale="71" orientation="landscape" blackAndWhite="1" horizontalDpi="1200" verticalDpi="1200" r:id="rId1"/>
  <headerFooter scaleWithDoc="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22</vt:i4>
      </vt:variant>
    </vt:vector>
  </HeadingPairs>
  <TitlesOfParts>
    <vt:vector size="53" baseType="lpstr">
      <vt:lpstr>Exhibit 1</vt:lpstr>
      <vt:lpstr>Exhibit 2.1.1</vt:lpstr>
      <vt:lpstr>Exhibit 2.1.2</vt:lpstr>
      <vt:lpstr>Exhibit 2.2.1</vt:lpstr>
      <vt:lpstr>Exhibit 2.2.2</vt:lpstr>
      <vt:lpstr>Exhibit 2.3.1</vt:lpstr>
      <vt:lpstr>Exhibit 2.3.2</vt:lpstr>
      <vt:lpstr>Exhibit 2.4.1</vt:lpstr>
      <vt:lpstr>Exhibit 2.4.2</vt:lpstr>
      <vt:lpstr>Exhibit 2.5.1</vt:lpstr>
      <vt:lpstr>Exhibit 2.5.2</vt:lpstr>
      <vt:lpstr>Exhibits 2.5.3 - 2.5.8</vt:lpstr>
      <vt:lpstr>Exhibits 2.5.9 - 2.5.12</vt:lpstr>
      <vt:lpstr>Exhibit 2.6.1</vt:lpstr>
      <vt:lpstr>Exhibit 2.6.2</vt:lpstr>
      <vt:lpstr>Exhibits 2.6.3 - 2.6.8</vt:lpstr>
      <vt:lpstr>Exhibit 3.1</vt:lpstr>
      <vt:lpstr>Exhibit 3.2</vt:lpstr>
      <vt:lpstr>Exhibit 4.1</vt:lpstr>
      <vt:lpstr>Exhibit 4.2</vt:lpstr>
      <vt:lpstr>Exhibit 4.3</vt:lpstr>
      <vt:lpstr>Exhibit 4.4</vt:lpstr>
      <vt:lpstr>Exhibit 5.1</vt:lpstr>
      <vt:lpstr>Exhibit 5.2</vt:lpstr>
      <vt:lpstr>Exhibit 6.1</vt:lpstr>
      <vt:lpstr>Exhibit 6.2</vt:lpstr>
      <vt:lpstr>Exhibit 6.3</vt:lpstr>
      <vt:lpstr>Exhibit 6.4</vt:lpstr>
      <vt:lpstr>Exhibit 7.1</vt:lpstr>
      <vt:lpstr>Exhibit 7.3</vt:lpstr>
      <vt:lpstr>Exhibit 8</vt:lpstr>
      <vt:lpstr>'Exhibit 1'!Print_Area</vt:lpstr>
      <vt:lpstr>'Exhibit 2.3.2'!Print_Area</vt:lpstr>
      <vt:lpstr>'Exhibit 2.4.1'!Print_Area</vt:lpstr>
      <vt:lpstr>'Exhibit 2.5.1'!Print_Area</vt:lpstr>
      <vt:lpstr>'Exhibit 2.5.2'!Print_Area</vt:lpstr>
      <vt:lpstr>'Exhibit 2.6.1'!Print_Area</vt:lpstr>
      <vt:lpstr>'Exhibit 3.1'!Print_Area</vt:lpstr>
      <vt:lpstr>'Exhibit 3.2'!Print_Area</vt:lpstr>
      <vt:lpstr>'Exhibit 4.1'!Print_Area</vt:lpstr>
      <vt:lpstr>'Exhibit 4.2'!Print_Area</vt:lpstr>
      <vt:lpstr>'Exhibit 4.3'!Print_Area</vt:lpstr>
      <vt:lpstr>'Exhibit 4.4'!Print_Area</vt:lpstr>
      <vt:lpstr>'Exhibit 5.1'!Print_Area</vt:lpstr>
      <vt:lpstr>'Exhibit 5.2'!Print_Area</vt:lpstr>
      <vt:lpstr>'Exhibit 6.1'!Print_Area</vt:lpstr>
      <vt:lpstr>'Exhibit 6.4'!Print_Area</vt:lpstr>
      <vt:lpstr>'Exhibit 7.1'!Print_Area</vt:lpstr>
      <vt:lpstr>'Exhibit 7.3'!Print_Area</vt:lpstr>
      <vt:lpstr>'Exhibit 8'!Print_Area</vt:lpstr>
      <vt:lpstr>'Exhibits 2.5.3 - 2.5.8'!Print_Area</vt:lpstr>
      <vt:lpstr>'Exhibits 2.5.9 - 2.5.12'!Print_Area</vt:lpstr>
      <vt:lpstr>'Exhibits 2.6.3 - 2.6.8'!Print_Area</vt:lpstr>
    </vt:vector>
  </TitlesOfParts>
  <Company>WCIRB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M. Wong</dc:creator>
  <cp:lastModifiedBy>Katrina Sonka</cp:lastModifiedBy>
  <cp:lastPrinted>2021-05-03T18:19:28Z</cp:lastPrinted>
  <dcterms:created xsi:type="dcterms:W3CDTF">2016-01-21T17:50:16Z</dcterms:created>
  <dcterms:modified xsi:type="dcterms:W3CDTF">2022-07-07T21:24:02Z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f8a7aa-03d8-4d7e-81ce-cbbd96e8ad1d_Enabled">
    <vt:lpwstr>true</vt:lpwstr>
  </property>
  <property fmtid="{D5CDD505-2E9C-101B-9397-08002B2CF9AE}" pid="3" name="MSIP_Label_39f8a7aa-03d8-4d7e-81ce-cbbd96e8ad1d_SetDate">
    <vt:lpwstr>2021-04-28T19:20:51Z</vt:lpwstr>
  </property>
  <property fmtid="{D5CDD505-2E9C-101B-9397-08002B2CF9AE}" pid="4" name="MSIP_Label_39f8a7aa-03d8-4d7e-81ce-cbbd96e8ad1d_Method">
    <vt:lpwstr>Standard</vt:lpwstr>
  </property>
  <property fmtid="{D5CDD505-2E9C-101B-9397-08002B2CF9AE}" pid="5" name="MSIP_Label_39f8a7aa-03d8-4d7e-81ce-cbbd96e8ad1d_Name">
    <vt:lpwstr>General</vt:lpwstr>
  </property>
  <property fmtid="{D5CDD505-2E9C-101B-9397-08002B2CF9AE}" pid="6" name="MSIP_Label_39f8a7aa-03d8-4d7e-81ce-cbbd96e8ad1d_SiteId">
    <vt:lpwstr>ee890d36-04de-4fa7-b4c3-bda5c1b65710</vt:lpwstr>
  </property>
  <property fmtid="{D5CDD505-2E9C-101B-9397-08002B2CF9AE}" pid="7" name="MSIP_Label_39f8a7aa-03d8-4d7e-81ce-cbbd96e8ad1d_ActionId">
    <vt:lpwstr>e29594b4-0786-4162-ab57-3f524368d2a1</vt:lpwstr>
  </property>
  <property fmtid="{D5CDD505-2E9C-101B-9397-08002B2CF9AE}" pid="8" name="MSIP_Label_39f8a7aa-03d8-4d7e-81ce-cbbd96e8ad1d_ContentBits">
    <vt:lpwstr>0</vt:lpwstr>
  </property>
</Properties>
</file>